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Suada\Desktop\Katalog KRITERIJA\"/>
    </mc:Choice>
  </mc:AlternateContent>
  <bookViews>
    <workbookView xWindow="-120" yWindow="-120" windowWidth="29040" windowHeight="15840" firstSheet="39" activeTab="43"/>
  </bookViews>
  <sheets>
    <sheet name="Uvod" sheetId="48" r:id="rId1"/>
    <sheet name="Rezultati" sheetId="26" r:id="rId2"/>
    <sheet name="Unos podataka" sheetId="1" r:id="rId3"/>
    <sheet name="Eliminatorni kriteriji" sheetId="7" r:id="rId4"/>
    <sheet name="E1 - Specifična investicija" sheetId="2" r:id="rId5"/>
    <sheet name="E2 - Doprinos zaštiti klime" sheetId="3" r:id="rId6"/>
    <sheet name="E3 - Priključak na d. mrežu" sheetId="4" r:id="rId7"/>
    <sheet name="E4 - Dodatni efekti" sheetId="5" r:id="rId8"/>
    <sheet name="E - Ukupna ocjena" sheetId="6" r:id="rId9"/>
    <sheet name="UV1 -Iskorištenost hidroe. pot." sheetId="8" r:id="rId10"/>
    <sheet name="UV2 -Karakteristike HE" sheetId="9" r:id="rId11"/>
    <sheet name="UV3 - Efikasnost iskoriš. vode" sheetId="10" r:id="rId12"/>
    <sheet name="UV4 - Promjena pot. rizika" sheetId="11" r:id="rId13"/>
    <sheet name="UV5 - Utjecaj na kv. vode" sheetId="12" r:id="rId14"/>
    <sheet name="UV6 - Utjecaj na podzemen vode" sheetId="13" r:id="rId15"/>
    <sheet name="UV - Ukupna ocjena" sheetId="14" r:id="rId16"/>
    <sheet name="PP1 - PP dokumentacija" sheetId="15" r:id="rId17"/>
    <sheet name="PP2 - Direktno korištenje t.v." sheetId="16" r:id="rId18"/>
    <sheet name="PP3 - Infrastruktura" sheetId="17" r:id="rId19"/>
    <sheet name="PP4 - Poljoprivreda" sheetId="18" r:id="rId20"/>
    <sheet name="PP5 - Šumarstvo" sheetId="19" r:id="rId21"/>
    <sheet name="PP6 - Kulturna dobra" sheetId="20" r:id="rId22"/>
    <sheet name="PP7 - Turizam" sheetId="21" r:id="rId23"/>
    <sheet name="PP8 - Mineralni resursi" sheetId="22" r:id="rId24"/>
    <sheet name="PP9 - Lokalna privreda" sheetId="23" r:id="rId25"/>
    <sheet name="PP - Ukupna ocjena" sheetId="24" r:id="rId26"/>
    <sheet name="EV1 - Hidromorfologija" sheetId="25" r:id="rId27"/>
    <sheet name="EV2 - Ekološki status" sheetId="30" r:id="rId28"/>
    <sheet name="EV3 - Površina sliva" sheetId="31" r:id="rId29"/>
    <sheet name="EV4 - Posebni tipovi V.T." sheetId="32" r:id="rId30"/>
    <sheet name="EV5 -Postojanje mrjestilišta" sheetId="33" r:id="rId31"/>
    <sheet name="EV6- Putevi slobodnog toka" sheetId="34" r:id="rId32"/>
    <sheet name="EV7 - Toplotno zagađenje" sheetId="35" r:id="rId33"/>
    <sheet name="EV8 - Akumulacija" sheetId="36" r:id="rId34"/>
    <sheet name="EV - Ukupna ocjena" sheetId="37" r:id="rId35"/>
    <sheet name="ZP1 - Zaštita vrsta" sheetId="40" r:id="rId36"/>
    <sheet name="ZP2 - Zaštita priridnog staništ" sheetId="42" r:id="rId37"/>
    <sheet name="ZP3 - Ekosistem" sheetId="43" r:id="rId38"/>
    <sheet name="ZP4 - Pejzaž i rekreacijska vr." sheetId="44" r:id="rId39"/>
    <sheet name="Sheet1" sheetId="49" r:id="rId40"/>
    <sheet name="ZP5 - Prirodni značaj vodotoka" sheetId="45" r:id="rId41"/>
    <sheet name="ZP6 - Osjetljivi tipovi voda" sheetId="46" r:id="rId42"/>
    <sheet name="ZP7 - Osjetljiva i jed. V.T." sheetId="47" r:id="rId43"/>
    <sheet name="ZP - Ukupna ocjena" sheetId="41" r:id="rId44"/>
  </sheets>
  <definedNames>
    <definedName name="_Toc421964388" localSheetId="10">'UV2 -Karakteristike HE'!$B$5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25" l="1"/>
  <c r="C16" i="25"/>
  <c r="G9" i="33"/>
  <c r="G9" i="30"/>
  <c r="G10" i="44"/>
  <c r="G8" i="33"/>
  <c r="G8" i="30"/>
  <c r="H8" i="47"/>
  <c r="G14" i="1"/>
  <c r="C8" i="47"/>
  <c r="H8" i="46"/>
  <c r="C8" i="46"/>
  <c r="H8" i="45"/>
  <c r="H9" i="45"/>
  <c r="H10" i="45"/>
  <c r="H11" i="45"/>
  <c r="H12" i="45"/>
  <c r="C8" i="45"/>
  <c r="C10" i="44"/>
  <c r="F14" i="1"/>
  <c r="B10" i="44"/>
  <c r="H10" i="44"/>
  <c r="B19" i="44"/>
  <c r="H19" i="44"/>
  <c r="B28" i="44"/>
  <c r="H28" i="44"/>
  <c r="F15" i="1"/>
  <c r="B11" i="44"/>
  <c r="H11" i="44"/>
  <c r="B20" i="44"/>
  <c r="H20" i="44"/>
  <c r="B29" i="44"/>
  <c r="H29" i="44"/>
  <c r="F16" i="1"/>
  <c r="B12" i="44"/>
  <c r="H12" i="44"/>
  <c r="B21" i="44"/>
  <c r="H21" i="44"/>
  <c r="B30" i="44"/>
  <c r="H30" i="44"/>
  <c r="F17" i="1"/>
  <c r="B13" i="44"/>
  <c r="H13" i="44"/>
  <c r="B22" i="44"/>
  <c r="H22" i="44"/>
  <c r="B31" i="44"/>
  <c r="H31" i="44"/>
  <c r="F18" i="1"/>
  <c r="B14" i="44"/>
  <c r="H14" i="44"/>
  <c r="B23" i="44"/>
  <c r="H23" i="44"/>
  <c r="B32" i="44"/>
  <c r="H32" i="44"/>
  <c r="M10" i="44"/>
  <c r="G19" i="44"/>
  <c r="M19" i="44"/>
  <c r="G28" i="44"/>
  <c r="K28" i="44"/>
  <c r="L28" i="44"/>
  <c r="N28" i="44"/>
  <c r="G11" i="44"/>
  <c r="M11" i="44"/>
  <c r="G20" i="44"/>
  <c r="M20" i="44"/>
  <c r="G29" i="44"/>
  <c r="K29" i="44"/>
  <c r="L29" i="44"/>
  <c r="N29" i="44"/>
  <c r="G12" i="44"/>
  <c r="G30" i="44"/>
  <c r="K30" i="44"/>
  <c r="L30" i="44"/>
  <c r="N30" i="44"/>
  <c r="G13" i="44"/>
  <c r="G31" i="44"/>
  <c r="K31" i="44"/>
  <c r="L31" i="44"/>
  <c r="N31" i="44"/>
  <c r="G14" i="44"/>
  <c r="G32" i="44"/>
  <c r="K32" i="44"/>
  <c r="L32" i="44"/>
  <c r="N32" i="44"/>
  <c r="C38" i="44"/>
  <c r="H8" i="42"/>
  <c r="C8" i="42"/>
  <c r="C8" i="36"/>
  <c r="C8" i="35"/>
  <c r="C8" i="34"/>
  <c r="C8" i="33"/>
  <c r="C8" i="32"/>
  <c r="C8" i="31"/>
  <c r="C8" i="30"/>
  <c r="H9" i="25"/>
  <c r="C9" i="25"/>
  <c r="E31" i="9"/>
  <c r="G31" i="9"/>
  <c r="C31" i="1"/>
  <c r="H11" i="7"/>
  <c r="H9" i="7"/>
  <c r="H13" i="7"/>
  <c r="H15" i="7"/>
  <c r="C19" i="7"/>
  <c r="I4" i="26"/>
  <c r="D13" i="24"/>
  <c r="O10" i="26"/>
  <c r="AA10" i="26"/>
  <c r="D8" i="24"/>
  <c r="J10" i="26"/>
  <c r="V10" i="26"/>
  <c r="D9" i="24"/>
  <c r="K10" i="26"/>
  <c r="W10" i="26"/>
  <c r="D10" i="24"/>
  <c r="L10" i="26"/>
  <c r="X10" i="26"/>
  <c r="D11" i="24"/>
  <c r="M10" i="26"/>
  <c r="Y10" i="26"/>
  <c r="D12" i="24"/>
  <c r="N10" i="26"/>
  <c r="Z10" i="26"/>
  <c r="D14" i="24"/>
  <c r="P10" i="26"/>
  <c r="AB10" i="26"/>
  <c r="D15" i="24"/>
  <c r="Q10" i="26"/>
  <c r="AC10" i="26"/>
  <c r="D16" i="24"/>
  <c r="R10" i="26"/>
  <c r="AD10" i="26"/>
  <c r="C35" i="9"/>
  <c r="E35" i="9"/>
  <c r="G35" i="9"/>
  <c r="G37" i="9"/>
  <c r="K37" i="9"/>
  <c r="E13" i="9"/>
  <c r="C13" i="9"/>
  <c r="G13" i="9"/>
  <c r="G15" i="9"/>
  <c r="K15" i="9"/>
  <c r="G25" i="9"/>
  <c r="K25" i="9"/>
  <c r="K41" i="9"/>
  <c r="G41" i="9"/>
  <c r="K9" i="26"/>
  <c r="W9" i="26"/>
  <c r="C35" i="5"/>
  <c r="I35" i="5"/>
  <c r="K11" i="5"/>
  <c r="J11" i="5"/>
  <c r="C41" i="5"/>
  <c r="I41" i="5"/>
  <c r="K13" i="5"/>
  <c r="J13" i="5"/>
  <c r="C47" i="5"/>
  <c r="I47" i="5"/>
  <c r="K15" i="5"/>
  <c r="J15" i="5"/>
  <c r="C53" i="5"/>
  <c r="I53" i="5"/>
  <c r="K17" i="5"/>
  <c r="J17" i="5"/>
  <c r="C67" i="5"/>
  <c r="I67" i="5"/>
  <c r="K21" i="5"/>
  <c r="J21" i="5"/>
  <c r="E29" i="5"/>
  <c r="C29" i="5"/>
  <c r="G29" i="5"/>
  <c r="I27" i="5"/>
  <c r="K9" i="5"/>
  <c r="J9" i="5"/>
  <c r="E63" i="5"/>
  <c r="C63" i="5"/>
  <c r="G63" i="5"/>
  <c r="I61" i="5"/>
  <c r="K19" i="5"/>
  <c r="J19" i="5"/>
  <c r="N14" i="5"/>
  <c r="M8" i="26"/>
  <c r="Y8" i="26"/>
  <c r="J9" i="26"/>
  <c r="V9" i="26"/>
  <c r="M9" i="26"/>
  <c r="Y9" i="26"/>
  <c r="N9" i="26"/>
  <c r="Z9" i="26"/>
  <c r="O9" i="26"/>
  <c r="AA9" i="26"/>
  <c r="I23" i="25"/>
  <c r="C23" i="25"/>
  <c r="I8" i="31"/>
  <c r="L8" i="32"/>
  <c r="I8" i="33"/>
  <c r="I9" i="33"/>
  <c r="I10" i="33"/>
  <c r="I11" i="33"/>
  <c r="I12" i="33"/>
  <c r="G21" i="44"/>
  <c r="M12" i="44"/>
  <c r="M21" i="44"/>
  <c r="G22" i="44"/>
  <c r="M13" i="44"/>
  <c r="M22" i="44"/>
  <c r="G23" i="44"/>
  <c r="M14" i="44"/>
  <c r="M23" i="44"/>
  <c r="N38" i="44"/>
  <c r="C8" i="43"/>
  <c r="C8" i="40"/>
  <c r="J28" i="26"/>
  <c r="J29" i="26"/>
  <c r="J32" i="26"/>
  <c r="J33" i="26"/>
  <c r="J34" i="26"/>
  <c r="J35" i="26"/>
  <c r="C11" i="2"/>
  <c r="E11" i="2"/>
  <c r="G11" i="2"/>
  <c r="I9" i="2"/>
  <c r="J8" i="26"/>
  <c r="J27" i="26"/>
  <c r="B9" i="37"/>
  <c r="F9" i="37"/>
  <c r="B9" i="25"/>
  <c r="G9" i="25"/>
  <c r="G23" i="25"/>
  <c r="C9" i="37"/>
  <c r="K9" i="37"/>
  <c r="R19" i="37"/>
  <c r="S19" i="37"/>
  <c r="L9" i="37"/>
  <c r="T19" i="37"/>
  <c r="G8" i="31"/>
  <c r="M9" i="37"/>
  <c r="U19" i="37"/>
  <c r="G8" i="32"/>
  <c r="N9" i="37"/>
  <c r="V19" i="37"/>
  <c r="J8" i="32"/>
  <c r="O9" i="37"/>
  <c r="W19" i="37"/>
  <c r="P9" i="37"/>
  <c r="X19" i="37"/>
  <c r="Q9" i="37"/>
  <c r="Y19" i="37"/>
  <c r="G8" i="35"/>
  <c r="R9" i="37"/>
  <c r="Z19" i="37"/>
  <c r="F8" i="36"/>
  <c r="P8" i="36"/>
  <c r="Q8" i="36"/>
  <c r="H8" i="36"/>
  <c r="S9" i="37"/>
  <c r="AA19" i="37"/>
  <c r="AB19" i="37"/>
  <c r="G15" i="1"/>
  <c r="C10" i="37"/>
  <c r="R20" i="37"/>
  <c r="B10" i="25"/>
  <c r="G10" i="25"/>
  <c r="G24" i="25"/>
  <c r="K10" i="37"/>
  <c r="S20" i="37"/>
  <c r="L10" i="37"/>
  <c r="T20" i="37"/>
  <c r="G9" i="31"/>
  <c r="M10" i="37"/>
  <c r="U20" i="37"/>
  <c r="G9" i="32"/>
  <c r="N10" i="37"/>
  <c r="V20" i="37"/>
  <c r="J9" i="32"/>
  <c r="O10" i="37"/>
  <c r="W20" i="37"/>
  <c r="P10" i="37"/>
  <c r="X20" i="37"/>
  <c r="Q10" i="37"/>
  <c r="Y20" i="37"/>
  <c r="G9" i="35"/>
  <c r="R10" i="37"/>
  <c r="Z20" i="37"/>
  <c r="Q9" i="36"/>
  <c r="F9" i="36"/>
  <c r="P9" i="36"/>
  <c r="H9" i="36"/>
  <c r="S10" i="37"/>
  <c r="AA20" i="37"/>
  <c r="AB20" i="37"/>
  <c r="G16" i="1"/>
  <c r="C11" i="37"/>
  <c r="R21" i="37"/>
  <c r="AB21" i="37"/>
  <c r="G17" i="1"/>
  <c r="C12" i="37"/>
  <c r="R22" i="37"/>
  <c r="AB22" i="37"/>
  <c r="G18" i="1"/>
  <c r="C13" i="37"/>
  <c r="R23" i="37"/>
  <c r="AB23" i="37"/>
  <c r="AB24" i="37"/>
  <c r="AE9" i="37"/>
  <c r="H23" i="25"/>
  <c r="T9" i="37"/>
  <c r="H8" i="30"/>
  <c r="U9" i="37"/>
  <c r="H8" i="31"/>
  <c r="V9" i="37"/>
  <c r="I8" i="36"/>
  <c r="AB9" i="37"/>
  <c r="H8" i="32"/>
  <c r="W9" i="37"/>
  <c r="K8" i="32"/>
  <c r="X9" i="37"/>
  <c r="H8" i="33"/>
  <c r="Y9" i="37"/>
  <c r="G8" i="34"/>
  <c r="Z9" i="37"/>
  <c r="H8" i="35"/>
  <c r="AA9" i="37"/>
  <c r="AD9" i="37"/>
  <c r="AI9" i="37"/>
  <c r="AG9" i="37"/>
  <c r="AH9" i="37"/>
  <c r="AJ9" i="37"/>
  <c r="AK9" i="37"/>
  <c r="AL9" i="37"/>
  <c r="AM9" i="37"/>
  <c r="AN9" i="37"/>
  <c r="AO9" i="37"/>
  <c r="AP9" i="37"/>
  <c r="AF9" i="37"/>
  <c r="AQ9" i="37"/>
  <c r="AR9" i="37"/>
  <c r="AS9" i="37"/>
  <c r="G9" i="37"/>
  <c r="H9" i="37"/>
  <c r="AE10" i="37"/>
  <c r="H24" i="25"/>
  <c r="T10" i="37"/>
  <c r="H9" i="30"/>
  <c r="U10" i="37"/>
  <c r="H9" i="31"/>
  <c r="V10" i="37"/>
  <c r="I9" i="36"/>
  <c r="AB10" i="37"/>
  <c r="H9" i="32"/>
  <c r="W10" i="37"/>
  <c r="K9" i="32"/>
  <c r="X10" i="37"/>
  <c r="H9" i="33"/>
  <c r="Y10" i="37"/>
  <c r="G9" i="34"/>
  <c r="Z10" i="37"/>
  <c r="H9" i="35"/>
  <c r="AA10" i="37"/>
  <c r="AD10" i="37"/>
  <c r="AI10" i="37"/>
  <c r="AG10" i="37"/>
  <c r="AH10" i="37"/>
  <c r="AJ10" i="37"/>
  <c r="AK10" i="37"/>
  <c r="AL10" i="37"/>
  <c r="AM10" i="37"/>
  <c r="AN10" i="37"/>
  <c r="AO10" i="37"/>
  <c r="AP10" i="37"/>
  <c r="AF10" i="37"/>
  <c r="AQ10" i="37"/>
  <c r="AR10" i="37"/>
  <c r="AS10" i="37"/>
  <c r="G10" i="37"/>
  <c r="H10" i="37"/>
  <c r="G16" i="37"/>
  <c r="E14" i="14"/>
  <c r="I25" i="9"/>
  <c r="I15" i="9"/>
  <c r="C11" i="3"/>
  <c r="G11" i="3"/>
  <c r="H9" i="47"/>
  <c r="H10" i="47"/>
  <c r="H11" i="47"/>
  <c r="H12" i="47"/>
  <c r="H9" i="46"/>
  <c r="H10" i="46"/>
  <c r="H11" i="46"/>
  <c r="H12" i="46"/>
  <c r="M12" i="26"/>
  <c r="Y12" i="26"/>
  <c r="H8" i="43"/>
  <c r="H9" i="43"/>
  <c r="H10" i="43"/>
  <c r="H11" i="43"/>
  <c r="H12" i="43"/>
  <c r="H9" i="42"/>
  <c r="H10" i="42"/>
  <c r="H11" i="42"/>
  <c r="H12" i="42"/>
  <c r="H8" i="40"/>
  <c r="H9" i="40"/>
  <c r="H10" i="40"/>
  <c r="H11" i="40"/>
  <c r="H12" i="40"/>
  <c r="H8" i="34"/>
  <c r="H9" i="34"/>
  <c r="H10" i="34"/>
  <c r="H11" i="34"/>
  <c r="H12" i="34"/>
  <c r="I8" i="35"/>
  <c r="I9" i="35"/>
  <c r="I10" i="35"/>
  <c r="I11" i="35"/>
  <c r="I12" i="35"/>
  <c r="I9" i="3"/>
  <c r="K8" i="26"/>
  <c r="W8" i="26"/>
  <c r="C11" i="4"/>
  <c r="E11" i="4"/>
  <c r="G11" i="4"/>
  <c r="I9" i="4"/>
  <c r="L8" i="26"/>
  <c r="X8" i="26"/>
  <c r="E11" i="10"/>
  <c r="I8" i="30"/>
  <c r="I9" i="30"/>
  <c r="I10" i="30"/>
  <c r="I11" i="30"/>
  <c r="I12" i="30"/>
  <c r="L9" i="32"/>
  <c r="L10" i="32"/>
  <c r="L11" i="32"/>
  <c r="L12" i="32"/>
  <c r="I24" i="25"/>
  <c r="I25" i="25"/>
  <c r="I26" i="25"/>
  <c r="I27" i="25"/>
  <c r="H10" i="25"/>
  <c r="H11" i="25"/>
  <c r="H12" i="25"/>
  <c r="H13" i="25"/>
  <c r="V8" i="26"/>
  <c r="C9" i="41"/>
  <c r="G9" i="41"/>
  <c r="R9" i="41"/>
  <c r="E9" i="41"/>
  <c r="C10" i="41"/>
  <c r="E10" i="41"/>
  <c r="C11" i="41"/>
  <c r="E11" i="41"/>
  <c r="C12" i="41"/>
  <c r="E12" i="41"/>
  <c r="C13" i="41"/>
  <c r="E13" i="41"/>
  <c r="E14" i="41"/>
  <c r="F9" i="41"/>
  <c r="F10" i="41"/>
  <c r="F11" i="41"/>
  <c r="F12" i="41"/>
  <c r="F13" i="41"/>
  <c r="F14" i="41"/>
  <c r="G10" i="41"/>
  <c r="G11" i="41"/>
  <c r="G12" i="41"/>
  <c r="G13" i="41"/>
  <c r="G14" i="41"/>
  <c r="H9" i="41"/>
  <c r="H10" i="41"/>
  <c r="H11" i="41"/>
  <c r="H12" i="41"/>
  <c r="H13" i="41"/>
  <c r="H14" i="41"/>
  <c r="I9" i="41"/>
  <c r="I10" i="41"/>
  <c r="I11" i="41"/>
  <c r="I12" i="41"/>
  <c r="I13" i="41"/>
  <c r="I14" i="41"/>
  <c r="G8" i="46"/>
  <c r="J9" i="41"/>
  <c r="G9" i="46"/>
  <c r="J10" i="41"/>
  <c r="G10" i="46"/>
  <c r="J11" i="41"/>
  <c r="G11" i="46"/>
  <c r="J12" i="41"/>
  <c r="G12" i="46"/>
  <c r="J13" i="41"/>
  <c r="J14" i="41"/>
  <c r="G8" i="47"/>
  <c r="K9" i="41"/>
  <c r="G10" i="47"/>
  <c r="K11" i="41"/>
  <c r="G9" i="47"/>
  <c r="K10" i="41"/>
  <c r="G11" i="47"/>
  <c r="K12" i="41"/>
  <c r="G12" i="47"/>
  <c r="K13" i="41"/>
  <c r="K14" i="41"/>
  <c r="E16" i="41"/>
  <c r="Q11" i="37"/>
  <c r="Q12" i="37"/>
  <c r="Q13" i="37"/>
  <c r="G10" i="34"/>
  <c r="G11" i="34"/>
  <c r="G12" i="34"/>
  <c r="BA9" i="37"/>
  <c r="Q12" i="36"/>
  <c r="H12" i="36"/>
  <c r="Q11" i="36"/>
  <c r="H11" i="36"/>
  <c r="Q10" i="36"/>
  <c r="H10" i="36"/>
  <c r="B11" i="25"/>
  <c r="G11" i="25"/>
  <c r="G25" i="25"/>
  <c r="K11" i="37"/>
  <c r="S21" i="37"/>
  <c r="G10" i="30"/>
  <c r="L11" i="37"/>
  <c r="T21" i="37"/>
  <c r="G10" i="31"/>
  <c r="M11" i="37"/>
  <c r="U21" i="37"/>
  <c r="G10" i="32"/>
  <c r="N11" i="37"/>
  <c r="V21" i="37"/>
  <c r="J10" i="32"/>
  <c r="O11" i="37"/>
  <c r="W21" i="37"/>
  <c r="G10" i="33"/>
  <c r="P11" i="37"/>
  <c r="X21" i="37"/>
  <c r="Y21" i="37"/>
  <c r="G10" i="35"/>
  <c r="R11" i="37"/>
  <c r="Z21" i="37"/>
  <c r="S11" i="37"/>
  <c r="AA21" i="37"/>
  <c r="B12" i="25"/>
  <c r="G12" i="25"/>
  <c r="G26" i="25"/>
  <c r="K12" i="37"/>
  <c r="S22" i="37"/>
  <c r="G11" i="30"/>
  <c r="L12" i="37"/>
  <c r="T22" i="37"/>
  <c r="G11" i="31"/>
  <c r="M12" i="37"/>
  <c r="U22" i="37"/>
  <c r="G11" i="32"/>
  <c r="N12" i="37"/>
  <c r="V22" i="37"/>
  <c r="J11" i="32"/>
  <c r="O12" i="37"/>
  <c r="W22" i="37"/>
  <c r="G11" i="33"/>
  <c r="P12" i="37"/>
  <c r="X22" i="37"/>
  <c r="Y22" i="37"/>
  <c r="G11" i="35"/>
  <c r="R12" i="37"/>
  <c r="Z22" i="37"/>
  <c r="S12" i="37"/>
  <c r="AA22" i="37"/>
  <c r="B13" i="25"/>
  <c r="G13" i="25"/>
  <c r="G27" i="25"/>
  <c r="K13" i="37"/>
  <c r="S23" i="37"/>
  <c r="G12" i="30"/>
  <c r="L13" i="37"/>
  <c r="T23" i="37"/>
  <c r="G12" i="31"/>
  <c r="M13" i="37"/>
  <c r="U23" i="37"/>
  <c r="G12" i="32"/>
  <c r="N13" i="37"/>
  <c r="V23" i="37"/>
  <c r="J12" i="32"/>
  <c r="O13" i="37"/>
  <c r="W23" i="37"/>
  <c r="G12" i="33"/>
  <c r="P13" i="37"/>
  <c r="X23" i="37"/>
  <c r="Y23" i="37"/>
  <c r="G12" i="35"/>
  <c r="R13" i="37"/>
  <c r="Z23" i="37"/>
  <c r="S13" i="37"/>
  <c r="AA23" i="37"/>
  <c r="S24" i="37"/>
  <c r="T24" i="37"/>
  <c r="U24" i="37"/>
  <c r="V24" i="37"/>
  <c r="W24" i="37"/>
  <c r="X24" i="37"/>
  <c r="Y24" i="37"/>
  <c r="Z24" i="37"/>
  <c r="AA24" i="37"/>
  <c r="B8" i="32"/>
  <c r="BB9" i="37"/>
  <c r="AV9" i="37"/>
  <c r="AX9" i="37"/>
  <c r="AY9" i="37"/>
  <c r="AW9" i="37"/>
  <c r="AZ9" i="37"/>
  <c r="B9" i="32"/>
  <c r="AE11" i="37"/>
  <c r="H10" i="35"/>
  <c r="AA11" i="37"/>
  <c r="Z11" i="37"/>
  <c r="H10" i="33"/>
  <c r="Y11" i="37"/>
  <c r="H10" i="32"/>
  <c r="W11" i="37"/>
  <c r="B10" i="32"/>
  <c r="K10" i="32"/>
  <c r="X11" i="37"/>
  <c r="H10" i="31"/>
  <c r="V11" i="37"/>
  <c r="F10" i="36"/>
  <c r="I10" i="36"/>
  <c r="AB11" i="37"/>
  <c r="H10" i="30"/>
  <c r="U11" i="37"/>
  <c r="H25" i="25"/>
  <c r="T11" i="37"/>
  <c r="AD11" i="37"/>
  <c r="AI11" i="37"/>
  <c r="AG11" i="37"/>
  <c r="AH11" i="37"/>
  <c r="AJ11" i="37"/>
  <c r="AK11" i="37"/>
  <c r="AL11" i="37"/>
  <c r="AM11" i="37"/>
  <c r="AN11" i="37"/>
  <c r="AO11" i="37"/>
  <c r="AP11" i="37"/>
  <c r="AF11" i="37"/>
  <c r="AQ11" i="37"/>
  <c r="AR11" i="37"/>
  <c r="AS11" i="37"/>
  <c r="G11" i="37"/>
  <c r="H11" i="37"/>
  <c r="AE12" i="37"/>
  <c r="H11" i="35"/>
  <c r="AA12" i="37"/>
  <c r="Z12" i="37"/>
  <c r="H11" i="33"/>
  <c r="Y12" i="37"/>
  <c r="H11" i="32"/>
  <c r="W12" i="37"/>
  <c r="B11" i="32"/>
  <c r="K11" i="32"/>
  <c r="X12" i="37"/>
  <c r="H11" i="31"/>
  <c r="V12" i="37"/>
  <c r="F11" i="36"/>
  <c r="I11" i="36"/>
  <c r="AB12" i="37"/>
  <c r="H11" i="30"/>
  <c r="U12" i="37"/>
  <c r="H26" i="25"/>
  <c r="T12" i="37"/>
  <c r="AD12" i="37"/>
  <c r="AI12" i="37"/>
  <c r="AG12" i="37"/>
  <c r="AH12" i="37"/>
  <c r="AJ12" i="37"/>
  <c r="AK12" i="37"/>
  <c r="AL12" i="37"/>
  <c r="AM12" i="37"/>
  <c r="AN12" i="37"/>
  <c r="AO12" i="37"/>
  <c r="AP12" i="37"/>
  <c r="AF12" i="37"/>
  <c r="AQ12" i="37"/>
  <c r="AR12" i="37"/>
  <c r="AS12" i="37"/>
  <c r="G12" i="37"/>
  <c r="H12" i="37"/>
  <c r="AE13" i="37"/>
  <c r="H12" i="35"/>
  <c r="AA13" i="37"/>
  <c r="Z13" i="37"/>
  <c r="H12" i="33"/>
  <c r="Y13" i="37"/>
  <c r="H12" i="32"/>
  <c r="W13" i="37"/>
  <c r="B12" i="32"/>
  <c r="K12" i="32"/>
  <c r="X13" i="37"/>
  <c r="H12" i="31"/>
  <c r="V13" i="37"/>
  <c r="F12" i="36"/>
  <c r="I12" i="36"/>
  <c r="AB13" i="37"/>
  <c r="H12" i="30"/>
  <c r="U13" i="37"/>
  <c r="H27" i="25"/>
  <c r="T13" i="37"/>
  <c r="AD13" i="37"/>
  <c r="AI13" i="37"/>
  <c r="AG13" i="37"/>
  <c r="AH13" i="37"/>
  <c r="AJ13" i="37"/>
  <c r="AK13" i="37"/>
  <c r="AL13" i="37"/>
  <c r="AM13" i="37"/>
  <c r="AN13" i="37"/>
  <c r="AO13" i="37"/>
  <c r="AP13" i="37"/>
  <c r="AF13" i="37"/>
  <c r="AQ13" i="37"/>
  <c r="AR13" i="37"/>
  <c r="AS13" i="37"/>
  <c r="G13" i="37"/>
  <c r="H13" i="37"/>
  <c r="J8" i="36"/>
  <c r="G8" i="24"/>
  <c r="G9" i="24"/>
  <c r="G10" i="24"/>
  <c r="G11" i="24"/>
  <c r="G12" i="24"/>
  <c r="G13" i="24"/>
  <c r="G14" i="24"/>
  <c r="G15" i="24"/>
  <c r="G16" i="24"/>
  <c r="M16" i="24"/>
  <c r="M15" i="24"/>
  <c r="M14" i="24"/>
  <c r="M13" i="24"/>
  <c r="M12" i="24"/>
  <c r="M11" i="24"/>
  <c r="M10" i="24"/>
  <c r="M9" i="24"/>
  <c r="M8" i="24"/>
  <c r="M17" i="24"/>
  <c r="N8" i="24"/>
  <c r="E8" i="24"/>
  <c r="F8" i="24"/>
  <c r="N9" i="24"/>
  <c r="E9" i="24"/>
  <c r="F9" i="24"/>
  <c r="N10" i="24"/>
  <c r="E10" i="24"/>
  <c r="F10" i="24"/>
  <c r="N11" i="24"/>
  <c r="E11" i="24"/>
  <c r="F11" i="24"/>
  <c r="N12" i="24"/>
  <c r="E12" i="24"/>
  <c r="F12" i="24"/>
  <c r="N13" i="24"/>
  <c r="E13" i="24"/>
  <c r="F13" i="24"/>
  <c r="N14" i="24"/>
  <c r="E14" i="24"/>
  <c r="F14" i="24"/>
  <c r="N15" i="24"/>
  <c r="E15" i="24"/>
  <c r="F15" i="24"/>
  <c r="N16" i="24"/>
  <c r="E16" i="24"/>
  <c r="F16" i="24"/>
  <c r="F17" i="24"/>
  <c r="D20" i="24"/>
  <c r="D9" i="14"/>
  <c r="F9" i="14"/>
  <c r="I37" i="9"/>
  <c r="D11" i="6"/>
  <c r="F11" i="6"/>
  <c r="G11" i="6"/>
  <c r="D8" i="6"/>
  <c r="F8" i="6"/>
  <c r="G8" i="6"/>
  <c r="D9" i="6"/>
  <c r="F9" i="6"/>
  <c r="G9" i="6"/>
  <c r="D10" i="6"/>
  <c r="F10" i="6"/>
  <c r="G10" i="6"/>
  <c r="F12" i="6"/>
  <c r="D15" i="6"/>
  <c r="P9" i="41"/>
  <c r="Q9" i="41"/>
  <c r="S9" i="41"/>
  <c r="T9" i="41"/>
  <c r="U9" i="41"/>
  <c r="P10" i="41"/>
  <c r="Q10" i="41"/>
  <c r="R10" i="41"/>
  <c r="S10" i="41"/>
  <c r="T10" i="41"/>
  <c r="U10" i="41"/>
  <c r="P11" i="41"/>
  <c r="Q11" i="41"/>
  <c r="R11" i="41"/>
  <c r="S11" i="41"/>
  <c r="T11" i="41"/>
  <c r="U11" i="41"/>
  <c r="P12" i="41"/>
  <c r="Q12" i="41"/>
  <c r="R12" i="41"/>
  <c r="S12" i="41"/>
  <c r="T12" i="41"/>
  <c r="U12" i="41"/>
  <c r="P13" i="41"/>
  <c r="Q13" i="41"/>
  <c r="R13" i="41"/>
  <c r="S13" i="41"/>
  <c r="T13" i="41"/>
  <c r="U13" i="41"/>
  <c r="V11" i="41"/>
  <c r="V12" i="41"/>
  <c r="V13" i="41"/>
  <c r="V9" i="41"/>
  <c r="V10" i="41"/>
  <c r="J26" i="41"/>
  <c r="D9" i="41"/>
  <c r="W9" i="41"/>
  <c r="D10" i="41"/>
  <c r="W10" i="41"/>
  <c r="W11" i="41"/>
  <c r="W12" i="41"/>
  <c r="W13" i="41"/>
  <c r="G18" i="41"/>
  <c r="D11" i="41"/>
  <c r="D12" i="41"/>
  <c r="D13" i="41"/>
  <c r="D12" i="26"/>
  <c r="F12" i="26"/>
  <c r="P10" i="36"/>
  <c r="P11" i="36"/>
  <c r="P12" i="36"/>
  <c r="B10" i="37"/>
  <c r="F10" i="37"/>
  <c r="B11" i="37"/>
  <c r="F11" i="37"/>
  <c r="B12" i="37"/>
  <c r="F12" i="37"/>
  <c r="B13" i="37"/>
  <c r="F13" i="37"/>
  <c r="D8" i="26"/>
  <c r="F8" i="26"/>
  <c r="D8" i="14"/>
  <c r="F8" i="14"/>
  <c r="G8" i="14"/>
  <c r="G9" i="14"/>
  <c r="D13" i="14"/>
  <c r="F13" i="14"/>
  <c r="G13" i="14"/>
  <c r="E25" i="24"/>
  <c r="D10" i="26"/>
  <c r="F10" i="26"/>
  <c r="B8" i="34"/>
  <c r="D11" i="26"/>
  <c r="F11" i="26"/>
  <c r="L34" i="44"/>
  <c r="B10" i="40"/>
  <c r="B11" i="40"/>
  <c r="B12" i="40"/>
  <c r="B8" i="40"/>
  <c r="B9" i="40"/>
  <c r="AX10" i="37"/>
  <c r="AZ10" i="37"/>
  <c r="AY10" i="37"/>
  <c r="B23" i="25"/>
  <c r="B24" i="25"/>
  <c r="B25" i="25"/>
  <c r="B26" i="25"/>
  <c r="B27" i="25"/>
  <c r="J9" i="36"/>
  <c r="D12" i="14"/>
  <c r="F12" i="14"/>
  <c r="G12" i="14"/>
  <c r="D11" i="14"/>
  <c r="F11" i="14"/>
  <c r="G11" i="14"/>
  <c r="L21" i="26"/>
  <c r="H17" i="24"/>
  <c r="E17" i="24"/>
  <c r="N17" i="24"/>
  <c r="C24" i="21"/>
  <c r="C24" i="20"/>
  <c r="C9" i="10"/>
  <c r="L23" i="26"/>
  <c r="L22" i="26"/>
  <c r="L20" i="26"/>
  <c r="L19" i="26"/>
  <c r="E3" i="26"/>
  <c r="AU9" i="37"/>
  <c r="B9" i="34"/>
  <c r="R20" i="26"/>
  <c r="R21" i="26"/>
  <c r="R22" i="26"/>
  <c r="R23" i="26"/>
  <c r="Q20" i="26"/>
  <c r="Q21" i="26"/>
  <c r="Q22" i="26"/>
  <c r="Q23" i="26"/>
  <c r="P20" i="26"/>
  <c r="P21" i="26"/>
  <c r="P22" i="26"/>
  <c r="P23" i="26"/>
  <c r="O20" i="26"/>
  <c r="O21" i="26"/>
  <c r="O22" i="26"/>
  <c r="O23" i="26"/>
  <c r="N20" i="26"/>
  <c r="N21" i="26"/>
  <c r="N22" i="26"/>
  <c r="N23" i="26"/>
  <c r="B8" i="47"/>
  <c r="D8" i="47"/>
  <c r="B12" i="47"/>
  <c r="D12" i="47"/>
  <c r="C12" i="47"/>
  <c r="B11" i="47"/>
  <c r="D11" i="47"/>
  <c r="C11" i="47"/>
  <c r="B10" i="47"/>
  <c r="D10" i="47"/>
  <c r="C10" i="47"/>
  <c r="B9" i="47"/>
  <c r="D9" i="47"/>
  <c r="C9" i="47"/>
  <c r="B10" i="46"/>
  <c r="B12" i="46"/>
  <c r="D12" i="46"/>
  <c r="C12" i="46"/>
  <c r="B11" i="46"/>
  <c r="D11" i="46"/>
  <c r="C11" i="46"/>
  <c r="D10" i="46"/>
  <c r="C10" i="46"/>
  <c r="B9" i="46"/>
  <c r="D9" i="46"/>
  <c r="C9" i="46"/>
  <c r="B8" i="46"/>
  <c r="D8" i="46"/>
  <c r="B12" i="45"/>
  <c r="D12" i="45"/>
  <c r="C12" i="45"/>
  <c r="B11" i="45"/>
  <c r="D11" i="45"/>
  <c r="C11" i="45"/>
  <c r="B10" i="45"/>
  <c r="D10" i="45"/>
  <c r="C10" i="45"/>
  <c r="B9" i="45"/>
  <c r="D9" i="45"/>
  <c r="C9" i="45"/>
  <c r="B8" i="45"/>
  <c r="D8" i="45"/>
  <c r="D14" i="44"/>
  <c r="J14" i="44"/>
  <c r="D23" i="44"/>
  <c r="J23" i="44"/>
  <c r="D32" i="44"/>
  <c r="J32" i="44"/>
  <c r="C14" i="44"/>
  <c r="I14" i="44"/>
  <c r="C23" i="44"/>
  <c r="I23" i="44"/>
  <c r="C32" i="44"/>
  <c r="I32" i="44"/>
  <c r="D13" i="44"/>
  <c r="J13" i="44"/>
  <c r="D22" i="44"/>
  <c r="J22" i="44"/>
  <c r="D31" i="44"/>
  <c r="J31" i="44"/>
  <c r="C13" i="44"/>
  <c r="I13" i="44"/>
  <c r="C22" i="44"/>
  <c r="I22" i="44"/>
  <c r="C31" i="44"/>
  <c r="I31" i="44"/>
  <c r="D12" i="44"/>
  <c r="J12" i="44"/>
  <c r="D21" i="44"/>
  <c r="J21" i="44"/>
  <c r="D30" i="44"/>
  <c r="J30" i="44"/>
  <c r="C12" i="44"/>
  <c r="I12" i="44"/>
  <c r="C21" i="44"/>
  <c r="I21" i="44"/>
  <c r="C30" i="44"/>
  <c r="I30" i="44"/>
  <c r="D11" i="44"/>
  <c r="J11" i="44"/>
  <c r="D20" i="44"/>
  <c r="J20" i="44"/>
  <c r="D29" i="44"/>
  <c r="J29" i="44"/>
  <c r="C11" i="44"/>
  <c r="I11" i="44"/>
  <c r="C20" i="44"/>
  <c r="I20" i="44"/>
  <c r="C29" i="44"/>
  <c r="I29" i="44"/>
  <c r="D10" i="44"/>
  <c r="J10" i="44"/>
  <c r="D19" i="44"/>
  <c r="J19" i="44"/>
  <c r="D28" i="44"/>
  <c r="J28" i="44"/>
  <c r="I10" i="44"/>
  <c r="C19" i="44"/>
  <c r="I19" i="44"/>
  <c r="C28" i="44"/>
  <c r="I28" i="44"/>
  <c r="B8" i="43"/>
  <c r="D8" i="43"/>
  <c r="B12" i="43"/>
  <c r="D12" i="43"/>
  <c r="C12" i="43"/>
  <c r="B11" i="43"/>
  <c r="D11" i="43"/>
  <c r="C11" i="43"/>
  <c r="B10" i="43"/>
  <c r="D10" i="43"/>
  <c r="C10" i="43"/>
  <c r="B9" i="43"/>
  <c r="D9" i="43"/>
  <c r="C9" i="43"/>
  <c r="B12" i="42"/>
  <c r="D12" i="42"/>
  <c r="C12" i="42"/>
  <c r="B11" i="42"/>
  <c r="D11" i="42"/>
  <c r="C11" i="42"/>
  <c r="B10" i="42"/>
  <c r="D10" i="42"/>
  <c r="C10" i="42"/>
  <c r="B9" i="42"/>
  <c r="D9" i="42"/>
  <c r="C9" i="42"/>
  <c r="B8" i="42"/>
  <c r="D8" i="42"/>
  <c r="C33" i="9"/>
  <c r="D9" i="40"/>
  <c r="D10" i="40"/>
  <c r="D11" i="40"/>
  <c r="D12" i="40"/>
  <c r="D8" i="40"/>
  <c r="D9" i="37"/>
  <c r="C9" i="40"/>
  <c r="C10" i="40"/>
  <c r="C11" i="40"/>
  <c r="C12" i="40"/>
  <c r="D10" i="37"/>
  <c r="D11" i="37"/>
  <c r="D12" i="37"/>
  <c r="D13" i="37"/>
  <c r="B9" i="36"/>
  <c r="D9" i="36"/>
  <c r="B10" i="36"/>
  <c r="D10" i="36"/>
  <c r="B11" i="36"/>
  <c r="D11" i="36"/>
  <c r="B12" i="36"/>
  <c r="D12" i="36"/>
  <c r="B8" i="36"/>
  <c r="D8" i="36"/>
  <c r="B9" i="35"/>
  <c r="D9" i="35"/>
  <c r="B10" i="35"/>
  <c r="D10" i="35"/>
  <c r="B11" i="35"/>
  <c r="D11" i="35"/>
  <c r="B12" i="35"/>
  <c r="D12" i="35"/>
  <c r="B8" i="35"/>
  <c r="D8" i="35"/>
  <c r="D9" i="34"/>
  <c r="B10" i="34"/>
  <c r="D10" i="34"/>
  <c r="B11" i="34"/>
  <c r="D11" i="34"/>
  <c r="B12" i="34"/>
  <c r="D12" i="34"/>
  <c r="D8" i="34"/>
  <c r="B9" i="33"/>
  <c r="D9" i="33"/>
  <c r="B10" i="33"/>
  <c r="D10" i="33"/>
  <c r="B11" i="33"/>
  <c r="D11" i="33"/>
  <c r="B12" i="33"/>
  <c r="D12" i="33"/>
  <c r="B8" i="33"/>
  <c r="D8" i="33"/>
  <c r="D12" i="32"/>
  <c r="D9" i="32"/>
  <c r="D10" i="32"/>
  <c r="D11" i="32"/>
  <c r="D8" i="32"/>
  <c r="B9" i="31"/>
  <c r="D9" i="31"/>
  <c r="B10" i="31"/>
  <c r="D10" i="31"/>
  <c r="B11" i="31"/>
  <c r="D11" i="31"/>
  <c r="B12" i="31"/>
  <c r="D12" i="31"/>
  <c r="B8" i="31"/>
  <c r="D8" i="31"/>
  <c r="B8" i="30"/>
  <c r="D8" i="30"/>
  <c r="C9" i="36"/>
  <c r="C10" i="36"/>
  <c r="C11" i="36"/>
  <c r="C12" i="36"/>
  <c r="C9" i="35"/>
  <c r="C10" i="35"/>
  <c r="C11" i="35"/>
  <c r="C12" i="35"/>
  <c r="C9" i="34"/>
  <c r="C10" i="34"/>
  <c r="C11" i="34"/>
  <c r="C12" i="34"/>
  <c r="C9" i="33"/>
  <c r="C10" i="33"/>
  <c r="C11" i="33"/>
  <c r="C12" i="33"/>
  <c r="C9" i="32"/>
  <c r="C10" i="32"/>
  <c r="C11" i="32"/>
  <c r="C12" i="32"/>
  <c r="C9" i="31"/>
  <c r="C10" i="31"/>
  <c r="C11" i="31"/>
  <c r="C12" i="31"/>
  <c r="B9" i="30"/>
  <c r="D9" i="30"/>
  <c r="B10" i="30"/>
  <c r="D10" i="30"/>
  <c r="B11" i="30"/>
  <c r="D11" i="30"/>
  <c r="B12" i="30"/>
  <c r="D12" i="30"/>
  <c r="D9" i="25"/>
  <c r="C9" i="30"/>
  <c r="C10" i="30"/>
  <c r="C11" i="30"/>
  <c r="C12" i="30"/>
  <c r="D24" i="25"/>
  <c r="D25" i="25"/>
  <c r="D26" i="25"/>
  <c r="D27" i="25"/>
  <c r="D23" i="25"/>
  <c r="C24" i="25"/>
  <c r="C25" i="25"/>
  <c r="C26" i="25"/>
  <c r="C27" i="25"/>
  <c r="D10" i="25"/>
  <c r="D11" i="25"/>
  <c r="D12" i="25"/>
  <c r="D13" i="25"/>
  <c r="E9" i="25"/>
  <c r="C10" i="25"/>
  <c r="E10" i="25"/>
  <c r="C11" i="25"/>
  <c r="E11" i="25"/>
  <c r="C12" i="25"/>
  <c r="E12" i="25"/>
  <c r="C13" i="25"/>
  <c r="E13" i="25"/>
  <c r="E14" i="25"/>
  <c r="AU11" i="37"/>
  <c r="AY11" i="37"/>
  <c r="BB11" i="37"/>
  <c r="BC11" i="37"/>
  <c r="AX11" i="37"/>
  <c r="AX12" i="37"/>
  <c r="BA12" i="37"/>
  <c r="BC9" i="37"/>
  <c r="AW10" i="37"/>
  <c r="BA10" i="37"/>
  <c r="AV10" i="37"/>
  <c r="BB10" i="37"/>
  <c r="BC10" i="37"/>
  <c r="AV11" i="37"/>
  <c r="AW11" i="37"/>
  <c r="AZ11" i="37"/>
  <c r="BA11" i="37"/>
  <c r="AV12" i="37"/>
  <c r="AW12" i="37"/>
  <c r="AY12" i="37"/>
  <c r="AZ12" i="37"/>
  <c r="BB12" i="37"/>
  <c r="BC12" i="37"/>
  <c r="AV13" i="37"/>
  <c r="AW13" i="37"/>
  <c r="AX13" i="37"/>
  <c r="AY13" i="37"/>
  <c r="AZ13" i="37"/>
  <c r="BA13" i="37"/>
  <c r="BB13" i="37"/>
  <c r="BC13" i="37"/>
  <c r="AU10" i="37"/>
  <c r="AU12" i="37"/>
  <c r="AU13" i="37"/>
  <c r="J10" i="36"/>
  <c r="J11" i="36"/>
  <c r="J12" i="36"/>
  <c r="I9" i="31"/>
  <c r="I10" i="31"/>
  <c r="I11" i="31"/>
  <c r="I12" i="31"/>
  <c r="E61" i="5"/>
  <c r="C61" i="5"/>
  <c r="E27" i="5"/>
  <c r="E11" i="3"/>
  <c r="E9" i="10"/>
  <c r="E33" i="9"/>
  <c r="E11" i="9"/>
  <c r="C11" i="9"/>
  <c r="E9" i="4"/>
  <c r="C9" i="4"/>
  <c r="E9" i="3"/>
  <c r="C9" i="3"/>
  <c r="E9" i="2"/>
  <c r="C9" i="2"/>
  <c r="C32" i="40"/>
  <c r="I19" i="1"/>
  <c r="C11" i="10"/>
  <c r="G11" i="10"/>
  <c r="I9" i="10"/>
  <c r="L9" i="26"/>
  <c r="X9" i="26"/>
  <c r="D10" i="14"/>
  <c r="F10" i="14"/>
  <c r="G10" i="14"/>
  <c r="F14" i="14"/>
  <c r="D9" i="26"/>
  <c r="F9" i="26"/>
  <c r="J19" i="26"/>
  <c r="D17" i="14"/>
  <c r="D13" i="26"/>
  <c r="J23" i="26"/>
  <c r="J22" i="26"/>
  <c r="J21" i="26"/>
  <c r="J20" i="26"/>
  <c r="L13" i="25"/>
  <c r="H16" i="30"/>
  <c r="K11" i="26"/>
  <c r="W11" i="26"/>
  <c r="H16" i="35"/>
  <c r="P11" i="26"/>
  <c r="AB11" i="26"/>
  <c r="I16" i="36"/>
  <c r="Q11" i="26"/>
  <c r="AC11" i="26"/>
  <c r="G32" i="40"/>
  <c r="J12" i="26"/>
  <c r="V12" i="26"/>
  <c r="G32" i="42"/>
  <c r="K12" i="26"/>
  <c r="W12" i="26"/>
  <c r="G32" i="43"/>
  <c r="L12" i="26"/>
  <c r="X12" i="26"/>
  <c r="H32" i="45"/>
  <c r="N12" i="26"/>
  <c r="Z12" i="26"/>
  <c r="H16" i="46"/>
  <c r="O12" i="26"/>
  <c r="AA12" i="26"/>
  <c r="H16" i="47"/>
  <c r="P12" i="26"/>
  <c r="AB12" i="26"/>
  <c r="J31" i="26"/>
  <c r="G36" i="34"/>
  <c r="O11" i="26"/>
  <c r="AA11" i="26"/>
  <c r="C32" i="43"/>
  <c r="H16" i="25"/>
  <c r="H32" i="25"/>
  <c r="J11" i="26"/>
  <c r="V11" i="26"/>
  <c r="H16" i="31"/>
  <c r="L11" i="26"/>
  <c r="X11" i="26"/>
  <c r="K17" i="32"/>
  <c r="M11" i="26"/>
  <c r="Y11" i="26"/>
  <c r="H16" i="33"/>
  <c r="N11" i="26"/>
  <c r="Z11" i="26"/>
  <c r="I2" i="26"/>
  <c r="J30" i="26"/>
  <c r="C16" i="30"/>
  <c r="C16" i="31"/>
  <c r="C17" i="32"/>
  <c r="C16" i="33"/>
  <c r="C36" i="34"/>
  <c r="C16" i="35"/>
  <c r="C16" i="36"/>
  <c r="C32" i="42"/>
  <c r="C32" i="45"/>
  <c r="C16" i="46"/>
  <c r="C16" i="47"/>
</calcChain>
</file>

<file path=xl/comments1.xml><?xml version="1.0" encoding="utf-8"?>
<comments xmlns="http://schemas.openxmlformats.org/spreadsheetml/2006/main">
  <authors>
    <author>Microsoft Office User</author>
  </authors>
  <commentList>
    <comment ref="E7" authorId="0" shapeId="0">
      <text>
        <r>
          <rPr>
            <sz val="10"/>
            <color rgb="FF000000"/>
            <rFont val="Tahoma"/>
            <family val="2"/>
          </rPr>
          <t>Prijedlog - nije još usklađeno</t>
        </r>
      </text>
    </comment>
  </commentList>
</comments>
</file>

<file path=xl/comments2.xml><?xml version="1.0" encoding="utf-8"?>
<comments xmlns="http://schemas.openxmlformats.org/spreadsheetml/2006/main">
  <authors>
    <author>Jürgen Neubarth</author>
  </authors>
  <commentList>
    <comment ref="I13" authorId="0" shapeId="0">
      <text>
        <r>
          <rPr>
            <sz val="9"/>
            <color rgb="FF000000"/>
            <rFont val="Verdana"/>
            <family val="2"/>
          </rPr>
          <t>length of affected river stretch according to definition in criteria catalogue</t>
        </r>
      </text>
    </comment>
  </commentList>
</comments>
</file>

<file path=xl/comments3.xml><?xml version="1.0" encoding="utf-8"?>
<comments xmlns="http://schemas.openxmlformats.org/spreadsheetml/2006/main">
  <authors>
    <author>Microsoft Office User</author>
  </authors>
  <commentList>
    <comment ref="E7" authorId="0" shapeId="0">
      <text>
        <r>
          <rPr>
            <sz val="10"/>
            <color indexed="8"/>
            <rFont val="Tahoma"/>
            <family val="2"/>
          </rPr>
          <t>Nije još usklađeno sa Radnog Grupom</t>
        </r>
      </text>
    </comment>
  </commentList>
</comments>
</file>

<file path=xl/comments4.xml><?xml version="1.0" encoding="utf-8"?>
<comments xmlns="http://schemas.openxmlformats.org/spreadsheetml/2006/main">
  <authors>
    <author>Microsoft Office User</author>
  </authors>
  <commentList>
    <comment ref="E7" authorId="0" shapeId="0">
      <text>
        <r>
          <rPr>
            <sz val="10"/>
            <color rgb="FF000000"/>
            <rFont val="Tahoma"/>
            <family val="2"/>
          </rPr>
          <t>Nije još usaglašeno sa radnom grupom</t>
        </r>
      </text>
    </comment>
  </commentList>
</comments>
</file>

<file path=xl/comments5.xml><?xml version="1.0" encoding="utf-8"?>
<comments xmlns="http://schemas.openxmlformats.org/spreadsheetml/2006/main">
  <authors>
    <author>Microsoft Office User</author>
  </authors>
  <commentList>
    <comment ref="H7" authorId="0" shapeId="0">
      <text>
        <r>
          <rPr>
            <sz val="10"/>
            <color rgb="FF000000"/>
            <rFont val="Tahoma"/>
            <family val="2"/>
          </rPr>
          <t>Nije usaglašeno</t>
        </r>
      </text>
    </comment>
    <comment ref="C23" authorId="0" shapeId="0">
      <text>
        <r>
          <rPr>
            <sz val="10"/>
            <color rgb="FF000000"/>
            <rFont val="Tahoma"/>
            <family val="2"/>
          </rPr>
          <t>Required to be consistent with other subject areas, which have a scoring range of 0-5 points</t>
        </r>
      </text>
    </comment>
  </commentList>
</comments>
</file>

<file path=xl/comments6.xml><?xml version="1.0" encoding="utf-8"?>
<comments xmlns="http://schemas.openxmlformats.org/spreadsheetml/2006/main">
  <authors>
    <author>Microsoft Office User</author>
  </authors>
  <commentList>
    <comment ref="G7" authorId="0" shapeId="0">
      <text>
        <r>
          <rPr>
            <sz val="10"/>
            <color rgb="FF000000"/>
            <rFont val="Tahoma"/>
            <family val="2"/>
          </rPr>
          <t>If no reservoir please enter "0"</t>
        </r>
      </text>
    </comment>
  </commentList>
</comments>
</file>

<file path=xl/comments7.xml><?xml version="1.0" encoding="utf-8"?>
<comments xmlns="http://schemas.openxmlformats.org/spreadsheetml/2006/main">
  <authors>
    <author>Microsoft Office User</author>
  </authors>
  <commentList>
    <comment ref="AG8" authorId="0" shapeId="0">
      <text>
        <r>
          <rPr>
            <sz val="12"/>
            <color rgb="FF000000"/>
            <rFont val="Calibri"/>
            <family val="2"/>
          </rPr>
          <t>Srednji težinski udio kriterija, koji su ocjenjeni kao ''veoma osjeteljivi"</t>
        </r>
      </text>
    </comment>
    <comment ref="AU17" authorId="0" shapeId="0">
      <text/>
    </comment>
  </commentList>
</comments>
</file>

<file path=xl/comments8.xml><?xml version="1.0" encoding="utf-8"?>
<comments xmlns="http://schemas.openxmlformats.org/spreadsheetml/2006/main">
  <authors>
    <author>Microsoft Office User</author>
  </authors>
  <commentList>
    <comment ref="C18" authorId="0" shapeId="0">
      <text>
        <r>
          <rPr>
            <sz val="10"/>
            <color rgb="FF000000"/>
            <rFont val="Calibri"/>
            <family val="2"/>
          </rPr>
          <t xml:space="preserve">
Srednja vrijednost bodovonja kriterija ako nijedan kriterij nije dobio ocjenu 0, u suprotnom ocjena 1 ako je 1 kriterij dobio ocjenu 0, ako su dva kriterija dobila ocjenu 0 onda je ukupna ocjena 0,5 te ako je više od dva kriterija dobilo ocjenu 0 onda je ukupna ocjena 0.</t>
        </r>
      </text>
    </comment>
  </commentList>
</comments>
</file>

<file path=xl/sharedStrings.xml><?xml version="1.0" encoding="utf-8"?>
<sst xmlns="http://schemas.openxmlformats.org/spreadsheetml/2006/main" count="1064" uniqueCount="554">
  <si>
    <t>Score</t>
  </si>
  <si>
    <t>/</t>
  </si>
  <si>
    <t>*</t>
  </si>
  <si>
    <t>=</t>
  </si>
  <si>
    <t>Total scoring</t>
  </si>
  <si>
    <t>Criterion</t>
  </si>
  <si>
    <t>of maximum possible points</t>
  </si>
  <si>
    <t>Result of evaluation</t>
  </si>
  <si>
    <t>Drop-down selection</t>
  </si>
  <si>
    <t>≥ eTE &gt;</t>
  </si>
  <si>
    <t>eTE &gt;</t>
  </si>
  <si>
    <t>n.a.</t>
  </si>
  <si>
    <t>&gt; eNet ≥</t>
  </si>
  <si>
    <t>&gt; eNet</t>
  </si>
  <si>
    <t>eNet ≥</t>
  </si>
  <si>
    <t>Drop down selection</t>
  </si>
  <si>
    <t>&gt; Qi/MQ ≥</t>
  </si>
  <si>
    <t>Qi/MQ ≥</t>
  </si>
  <si>
    <t>&gt; H/L</t>
  </si>
  <si>
    <t>&gt; H/L ≥</t>
  </si>
  <si>
    <t>H/L ≥</t>
  </si>
  <si>
    <t>x</t>
  </si>
  <si>
    <t>≥ wEff &gt;</t>
  </si>
  <si>
    <t>wEff &gt;</t>
  </si>
  <si>
    <t>&lt; 5,000</t>
  </si>
  <si>
    <t>5,000-7,500</t>
  </si>
  <si>
    <t>7,500-10,000</t>
  </si>
  <si>
    <t>10,000-20,000</t>
  </si>
  <si>
    <t>&gt; 20,000</t>
  </si>
  <si>
    <t>Definition of interval</t>
  </si>
  <si>
    <t>Evaluation</t>
  </si>
  <si>
    <t>dummy</t>
  </si>
  <si>
    <t>*min. 0 and max 5 points</t>
  </si>
  <si>
    <t>Drop down selection scoring</t>
  </si>
  <si>
    <t>**</t>
  </si>
  <si>
    <t>***</t>
  </si>
  <si>
    <t>Evaluation criterion ecological status</t>
  </si>
  <si>
    <t>weighting</t>
  </si>
  <si>
    <t>Boundaries for assessment</t>
  </si>
  <si>
    <t>drop down selection</t>
  </si>
  <si>
    <t>&lt;50 km2</t>
  </si>
  <si>
    <t>50-100 km2</t>
  </si>
  <si>
    <t>&gt;100 km2</t>
  </si>
  <si>
    <t>for translation only</t>
  </si>
  <si>
    <t>Drop down menue</t>
  </si>
  <si>
    <t>0 points</t>
  </si>
  <si>
    <t>1 point</t>
  </si>
  <si>
    <t>2 points</t>
  </si>
  <si>
    <t>3 points</t>
  </si>
  <si>
    <t>4 points</t>
  </si>
  <si>
    <t>5 points</t>
  </si>
  <si>
    <t>--&gt;</t>
  </si>
  <si>
    <t>for translation into local lanuage</t>
  </si>
  <si>
    <t>"n.a."</t>
  </si>
  <si>
    <t>Impact</t>
  </si>
  <si>
    <t>list order</t>
  </si>
  <si>
    <t>Scoring of individual criteria</t>
  </si>
  <si>
    <t>Traffic lights</t>
  </si>
  <si>
    <t>* results converted to a scoring range 0-5 points</t>
  </si>
  <si>
    <t>please select</t>
  </si>
  <si>
    <t>for translation</t>
  </si>
  <si>
    <t>For translation:</t>
  </si>
  <si>
    <t>For translation</t>
  </si>
  <si>
    <t>required transations for local language version</t>
  </si>
  <si>
    <t>prozected areas from nature protection?</t>
  </si>
  <si>
    <t>&gt; eCO2 ≥</t>
  </si>
  <si>
    <t>eCO2 ≥</t>
  </si>
  <si>
    <t>Excel alat za ocjenu malih hidriocentrala prema Katalogu kriterija u BiH</t>
  </si>
  <si>
    <t>Verzija 0.6 (za internu upotrebu)</t>
  </si>
  <si>
    <t>Opšte informacije</t>
  </si>
  <si>
    <t>Ulazne ćelije su označene smeđo-žutom bojom</t>
  </si>
  <si>
    <t>Rezultati su označeni plavom bojom</t>
  </si>
  <si>
    <t>Pregled ocjena MHE:</t>
  </si>
  <si>
    <t>Stručno poglavlje</t>
  </si>
  <si>
    <t>Energetika</t>
  </si>
  <si>
    <t>Upravljanje vodama</t>
  </si>
  <si>
    <t>Ekologija voda</t>
  </si>
  <si>
    <t>Zaštita prirode</t>
  </si>
  <si>
    <t>Važnost</t>
  </si>
  <si>
    <t>Status procjene (zeleno = ocijenjeno; crveno = u toku)</t>
  </si>
  <si>
    <t>Kriterij 1</t>
  </si>
  <si>
    <t>Kriterij  2</t>
  </si>
  <si>
    <t>Kriterij  3</t>
  </si>
  <si>
    <t>Kriterij  4</t>
  </si>
  <si>
    <t>Kriterij  5</t>
  </si>
  <si>
    <t>Kriterij  6</t>
  </si>
  <si>
    <t>Kriterij  7</t>
  </si>
  <si>
    <t>Kriterij  8</t>
  </si>
  <si>
    <t>Kriterij  9</t>
  </si>
  <si>
    <t>Prostorno planiranje</t>
  </si>
  <si>
    <t>Rezultat</t>
  </si>
  <si>
    <t>Poeni</t>
  </si>
  <si>
    <t>Zeleno</t>
  </si>
  <si>
    <t>Narandžasto</t>
  </si>
  <si>
    <t>Crveno</t>
  </si>
  <si>
    <t>Os</t>
  </si>
  <si>
    <t>Pomoćna tabela</t>
  </si>
  <si>
    <t>Prostorno uređenje</t>
  </si>
  <si>
    <t>Unesite kvantitativne podatke za oblasti energetike i upravljanja vodama</t>
  </si>
  <si>
    <t>Projekat</t>
  </si>
  <si>
    <t>Instalisana snaga (kWel)</t>
  </si>
  <si>
    <t>Predviđena godišnja proizvodnja (MWh/a)</t>
  </si>
  <si>
    <t>Ukupna investicija (mio. KM)</t>
  </si>
  <si>
    <t xml:space="preserve">Broj vodnih tijela pod uticajem projekta </t>
  </si>
  <si>
    <t>Bruto pad (m)</t>
  </si>
  <si>
    <t>Dužina priključka na distributivnu mrežu (km)</t>
  </si>
  <si>
    <t>Središnji godišnji protok(m3/s)</t>
  </si>
  <si>
    <t>Instalisani protok(m3/s)</t>
  </si>
  <si>
    <t>Derivaciona MHE (da/ne)</t>
  </si>
  <si>
    <t>br.</t>
  </si>
  <si>
    <t>Ime vodnog tijela</t>
  </si>
  <si>
    <t>dužina (m)</t>
  </si>
  <si>
    <t>Ukupna dužina vodotoka koje se nalazi pod uticajem</t>
  </si>
  <si>
    <t>Ocjena  "Eliminatornih kriterija"</t>
  </si>
  <si>
    <t>Stručna oblast</t>
  </si>
  <si>
    <t>Kriterij</t>
  </si>
  <si>
    <t>Ocjena</t>
  </si>
  <si>
    <t>Dostavljena ispravna hidrološka studija</t>
  </si>
  <si>
    <t>Izaberite</t>
  </si>
  <si>
    <t>da</t>
  </si>
  <si>
    <t>ne</t>
  </si>
  <si>
    <t xml:space="preserve">Vrijednosti za paukovu mrežu </t>
  </si>
  <si>
    <t>ocijenite</t>
  </si>
  <si>
    <t>Rezultat ocjene</t>
  </si>
  <si>
    <t>specifična investicija</t>
  </si>
  <si>
    <t>Granice kriterija (KM/kWh)</t>
  </si>
  <si>
    <t>Stručna oblast Energetika: Kriterij 2 "Doprinos zaštiti klime"</t>
  </si>
  <si>
    <t>Specifična emisija C02 u BiH</t>
  </si>
  <si>
    <t>Dodatni parametar za ocjenu</t>
  </si>
  <si>
    <t xml:space="preserve">Ukupna emisija CO2 </t>
  </si>
  <si>
    <t>Grancije kriterija (tCO2/a)</t>
  </si>
  <si>
    <t>Stručna oblast Energetika: Kriterij 1 "Specifična investicija"</t>
  </si>
  <si>
    <t>Stručna oblast Energetika: Kriterij 3 "Priključak na distributivnu mrežu"</t>
  </si>
  <si>
    <t>specifična dužina priključka na mrežu</t>
  </si>
  <si>
    <t>Nema sinergije</t>
  </si>
  <si>
    <t xml:space="preserve">Dodatni parametri koje je potrebni unijeti za navedenu MHE </t>
  </si>
  <si>
    <t>Povećana/smanjena proizvodnja u drugim MHE</t>
  </si>
  <si>
    <t>Sposobnost regulacije snage</t>
  </si>
  <si>
    <t>Sigurnost opskrbe</t>
  </si>
  <si>
    <t>Doprinos lokalnim/regionalnim projektima prijateljskog okruženja</t>
  </si>
  <si>
    <t>Utjecaj na rad drugih elektrana</t>
  </si>
  <si>
    <t>Sinergija s postojećim postrojenjem</t>
  </si>
  <si>
    <t>MHE omogućava reverzibilan rad</t>
  </si>
  <si>
    <t>MHE uključena u regulaciju snage od strane operatora</t>
  </si>
  <si>
    <t>Elektrana ima sposobnost otočnog rada</t>
  </si>
  <si>
    <t>Ocjena kriterija "dodatni efekti / sinergije"</t>
  </si>
  <si>
    <t>Utjecaj na rad drugih HE</t>
  </si>
  <si>
    <t>5 - 10% povećanja proizvodnja u drugim MHE</t>
  </si>
  <si>
    <t>-5% - +5% promjena u proizvodnji u drugim MHE</t>
  </si>
  <si>
    <t>5 - 10% smanjena proizvodnja u drugim MHE</t>
  </si>
  <si>
    <t>≥10% smanjena proizvodnja u drugim MHE</t>
  </si>
  <si>
    <t>≥10% povećana proizvodnja u drugim MHE</t>
  </si>
  <si>
    <t>Sinergije sa dijelovima postojećih postrojenja</t>
  </si>
  <si>
    <t>Moguće koristiti postojeću akumulaciju ili izlazni kanal postojeće MHE umjesto vodozahvata</t>
  </si>
  <si>
    <t>Izgradnja dodatnog derivacionog kanala/cjevovoda u sistemu, ali bez akumulacije, vodozahvata ili strojare</t>
  </si>
  <si>
    <t>da/ne podkriterij (Dodatno korištenje kao reverzibilnih elektrana, sposobnost regulacije snage i sigurnost opskrbe)</t>
  </si>
  <si>
    <t>5%-15%  investicije se izdvaja za projekte prijateljskog okruženja</t>
  </si>
  <si>
    <t>≥ 15% investicije se izdvaja za projekte prijateljskog okruženja</t>
  </si>
  <si>
    <t>Doprinos lokalnim/energetskim programima - udio lokalne zajednice</t>
  </si>
  <si>
    <t>bodovanje</t>
  </si>
  <si>
    <t>Ukupna ocjena*</t>
  </si>
  <si>
    <t>Lokalna zajednica i građani imaju 10  to &lt;50% udjela u vlasništvu MHE</t>
  </si>
  <si>
    <t>Lokalna zajednica i građani imaju  0  do  &lt;10%  udjela u vlasništvu MHE</t>
  </si>
  <si>
    <t>Lokalna zajednica i građani imaju  ≥ 50 % udjela u vlasništvu MHE</t>
  </si>
  <si>
    <t>Rezultat ocjene podkriterija  " Utjecaj na rad drugih MHE"</t>
  </si>
  <si>
    <t>Sažetak ocjene podkriterija</t>
  </si>
  <si>
    <t>Mogućnost sinergije sa dijelovima postojećih postrojenja</t>
  </si>
  <si>
    <t>Mogućnost Dodatnog korištenja kao reverzibilnih elektrana</t>
  </si>
  <si>
    <t>Rezultat ocjene podkriterija "Sinergija sa dijelovima postojećih postrojenja"</t>
  </si>
  <si>
    <t>Rezultat ocjene podkriterija "Dodatno korištenje kao reverzibilnih elektrana"</t>
  </si>
  <si>
    <t>Rezultat ocjene podkriterija "Sposobnost regulacije snage"</t>
  </si>
  <si>
    <t>Rezultat ocjene podkriterija "Sigurnost opskrbe"</t>
  </si>
  <si>
    <t>Rezultat ocjene podkriterija "Doprinos lokalnim/regionalnim energetskim programima "</t>
  </si>
  <si>
    <t>b) Udio lokalne zajednice i građana  u vlasništvu MHE</t>
  </si>
  <si>
    <t>Udio u projektima prijateljskog okruženja</t>
  </si>
  <si>
    <t>Doprinos lokalnim/energetskim programima - udio u vlasništvu lokalne zajednice</t>
  </si>
  <si>
    <t>a) Dio investicije se izdvaja za projekte prijateljskog okruženja</t>
  </si>
  <si>
    <t>Stručna oblast Energetika: Ukupna ocjena</t>
  </si>
  <si>
    <t>1. Specifična investicija</t>
  </si>
  <si>
    <t>2. Doprinos zaštiti klime</t>
  </si>
  <si>
    <t>3. Priključak na distributivnu mrežu</t>
  </si>
  <si>
    <t>4. Dodatni efekti/ sinergije</t>
  </si>
  <si>
    <t>Ukupno bodovanje</t>
  </si>
  <si>
    <t>Ocjena kriterija</t>
  </si>
  <si>
    <t>Težinski udio</t>
  </si>
  <si>
    <t>Težinska ocjena</t>
  </si>
  <si>
    <t>Stručna oblast Upravljanje vodama: Kriterij 1 "Stepen iskorištenosti hidroenergetskog potencijala"</t>
  </si>
  <si>
    <t>Izaberi</t>
  </si>
  <si>
    <t>Definicija intervala</t>
  </si>
  <si>
    <t>Ukupna ocjena</t>
  </si>
  <si>
    <t>Ocjena stručnog poglavlja</t>
  </si>
  <si>
    <t>Izgradnja MHE unutar zaštićene zone kulturnog dobra</t>
  </si>
  <si>
    <t>Postignut ekološki prihvatljiv protok</t>
  </si>
  <si>
    <t>Refernta mjesta utvrđena na vodnom tijelu</t>
  </si>
  <si>
    <t>Iskoristivi potencijal iskorišten u vrlo malom obimu, na način da se preostali hidroenergetski potencijal ne može dalje koristiti</t>
  </si>
  <si>
    <t>Iskoristiv potencijal iskorišten u malom obimu sa ozbiljnim smetnjama za iskorištavanje preostalog hidroenergetskog potencijala</t>
  </si>
  <si>
    <t>Iskoristivi potencijal je samo djelimično iskorišten i buduća upotreba hidroenergetskog potencijala je moguća, ali na način koji ima malo smisla i koji je daleko udaljen od optimuma</t>
  </si>
  <si>
    <t>Iskoristivi potencijal je djelomično iskorišten i to na način da je moguć budući značajniji obim iskorištenja preostalog hidroenergetskog potencijala, ali ne i maksmalni raspoloživi</t>
  </si>
  <si>
    <t>Iskoristivi potencijal je samo pracijalno iskorišten, ali na način da se buduća optimalna upotreba može djelomično postići bez pravljenja značajnijih kompromisa</t>
  </si>
  <si>
    <t>Iskoristivi potencijal je ili iskorišten u potpunosti ili postoji mogućnost da se preostali potencijal ikoristi u cjelosti</t>
  </si>
  <si>
    <t>Stručna oblast Upravljanje vodama: Kriterij 2 " Karakteristike hidroelektrane"</t>
  </si>
  <si>
    <t>Stepen instalisanosti</t>
  </si>
  <si>
    <t>B)Trajanje prekoračenja</t>
  </si>
  <si>
    <t>C) Odnos pada i dužine dovoda pogonske vode (Primjenjljivo samo za derivacione MHE)</t>
  </si>
  <si>
    <t>Odnos pada i dužine</t>
  </si>
  <si>
    <t>Trajanje prekoračenja izraženo u danima tokom jedne godine (unijeti broj dana p.g.)</t>
  </si>
  <si>
    <t>Težinski faktor različitih indikatora (podkriterij)</t>
  </si>
  <si>
    <t>A) Stepen instalisanosti hidroelektrane</t>
  </si>
  <si>
    <t>Derivacione HE</t>
  </si>
  <si>
    <t>Pribranske HE</t>
  </si>
  <si>
    <t>B) Trajanje prekoračenja</t>
  </si>
  <si>
    <t>C)Odnos pada i dužine dovoda pogonske vode</t>
  </si>
  <si>
    <t>Stepen iskorištenosti hidroelektrane</t>
  </si>
  <si>
    <t>A) Stepen iskorištenosti hidroelektrane</t>
  </si>
  <si>
    <t>Granice kriterija (bezdimenzionalno)</t>
  </si>
  <si>
    <t>Trajanje prekoračeja</t>
  </si>
  <si>
    <t>Odnos pada i dužine dovoda pogonske vode</t>
  </si>
  <si>
    <t>&gt; dana/g ≥</t>
  </si>
  <si>
    <t>dana/g ≥</t>
  </si>
  <si>
    <t>Efikasnost rada</t>
  </si>
  <si>
    <t>Granice kriterija (m/GWh)</t>
  </si>
  <si>
    <t>Stručna oblast Upravljanje vodama: Kriterij 3 "Promjena potencijala rizika"</t>
  </si>
  <si>
    <t>Utjecaj na drugu MHE</t>
  </si>
  <si>
    <t>Stručna oblast Energetika: Kriterij 4 "Dodatni efekti / Sinergije"</t>
  </si>
  <si>
    <t>Stručna oblast Upravljanje vodama: Kriterij 2" Efikasnost iskorištenja vode"</t>
  </si>
  <si>
    <t>MHE se nalazi u gusto naseljenom području, vodno tijelo koriste drugi korisnici (ribogojilišta, poljoprivrednici i sl.)) u zoni rizika nalaze se i druge građevine</t>
  </si>
  <si>
    <t>MHE se nalazi u naseljenom području bez prisutnosti drugih korisnika vodnog tijela (ribogojilišta, poljoprivrednici, i sl.), u zoni rizika nalaze se i druge građevine</t>
  </si>
  <si>
    <t>MHE se nalazi u naseljenom bez prisutnosti drugih korisnika vodnog tijela, u zoni rizika nalaze se i druge građevine</t>
  </si>
  <si>
    <t>MHE se nalazi u nenaseljenom području bez prisutnosti drugih korisnika vodnog tijela, u zoni rizika nalaze se i druge građevine. Zemljište je označeno kao šumsko, područje karakteristične flore i faune, ili kao zaštićeno prirodno zemljište.</t>
  </si>
  <si>
    <t>MHE se nalazi u nenaseljenom području bez prisutnosti drugih korisnika vodnog tijela, u zoni rizika se ne nalaze druge građevine. Zemljište je označeno kao šumsko, područje karakteristične flore i faune, ili kao zaštićeno prirodno zemljište.</t>
  </si>
  <si>
    <t xml:space="preserve">MHE se nalazi u nenaseljenom području bez prisutnosti drugih korisnika vodnog tijela, u zoni rizika se ne nalaze druge građevine. Zemljište nije označeno kao šumsko, područje karakteristične flore i faune, ili kao zaštićeno prirodno zemljište. </t>
  </si>
  <si>
    <t>Stručna oblast Upravljanje vodama: Kriterij 4"Utjecaj na kvalitet vode (imisija)"</t>
  </si>
  <si>
    <t>Značajno negativna promjena u odnosu na trenutno stanje sa nedovoljnim omjerom razrjeđivanja</t>
  </si>
  <si>
    <t>Sigurna negativna promjena u usporedbi sa stvarnim stanjem s pogoršanjem omjera razrjeđivanja</t>
  </si>
  <si>
    <t>Tendencija negativnih promjena u odnosu na stvarno stanje bez praktičnih učinaka na omjer razrjeđivanja</t>
  </si>
  <si>
    <t>Nema promjene u odnosu na trenutno stanje ili bez emisija</t>
  </si>
  <si>
    <t>Tendencija da se pozitivno promijeni stvarno stanje, npr. izjednačavajući minimalni proticaj</t>
  </si>
  <si>
    <t>Sigurna pozitivna promjena trenutnog stanja, npr. povećanjem minimalnog proticaja u slučaju promjena u periodu ljeto – zima.</t>
  </si>
  <si>
    <t>Stručna oblast Upravljanje vodama: Kriterij 5 "Utjecaj na podzemne vode"</t>
  </si>
  <si>
    <t>Prekid prihranjivanja podzemnih voda sa značajnim negativnim posljedicama</t>
  </si>
  <si>
    <t>Povremeni prekid prihranjivanja podzemne vode sa jasnim negativnim posljedicama</t>
  </si>
  <si>
    <t>Povremeni prekid prihranjivanja podzemnih voda sa jedva primjetnim negativnim posljedicama</t>
  </si>
  <si>
    <t>Bez utjecaja na trenutno stanje</t>
  </si>
  <si>
    <t>Nema prisustva podzemnih voda</t>
  </si>
  <si>
    <t>Pozitivan utjecaj na režim podzemnih voda</t>
  </si>
  <si>
    <t>Stručna oblast Prostorno planiranje: Kriterij 1 "Prostorno - planska dokumentacija"</t>
  </si>
  <si>
    <t>Nije primjenjivo</t>
  </si>
  <si>
    <t>Planski osnov isključivo u stručnom mišljenju/stručnom mišljenju i urbanističko – tehničkim uvjetima</t>
  </si>
  <si>
    <t>Planski osnov u entitetskom prostornom planu</t>
  </si>
  <si>
    <t>Planski osnov u kantonalnom prostornom planu ili zajedničkom prostornom planu za teritorije dvije ili više jedinica lokalne samouprave</t>
  </si>
  <si>
    <t>Planski osnov u prostornom planu jedinice lokalne samouprave</t>
  </si>
  <si>
    <t>Planski osnov u sprovedbenom dokumentu prostornog uređenja/detaljnom planskom dokumentu</t>
  </si>
  <si>
    <t>Stručna oblast Prostorno Planiranje: Kriterij 2 "Direktno korištenje tekućih voda"</t>
  </si>
  <si>
    <t>≥2 korištenja vode/km dužine vodnog tijela pod utjecajem MHE</t>
  </si>
  <si>
    <t>1.3 – 2 korištenja vode/km dužine vodnog tijela pod utjecajem MHE</t>
  </si>
  <si>
    <t>0.5 – 1.3 korištenja vode/km dužine vodnog tijela pod utjecajem MHE</t>
  </si>
  <si>
    <t>0 – 0.5 korištenja vode/km dužine vodnog tijela pod utjecajem MHE</t>
  </si>
  <si>
    <t>Nema korištenja vode</t>
  </si>
  <si>
    <t>Stručna oblast Prostorno planiranje: Kriterij 3 "Infrastruktura"</t>
  </si>
  <si>
    <t>Nije primjenjljivo</t>
  </si>
  <si>
    <t>Izraženo negativni efekti, npr. dugoročne negativne posljedice (kvalitativna procjena)</t>
  </si>
  <si>
    <t>Negativni efekti, npr. zbog privremenih negativnih posljedica</t>
  </si>
  <si>
    <t>Nema značajnih efekata, međutim kriterij je pogođen projektom (kvalitativna procjena)</t>
  </si>
  <si>
    <t>Pozitivni efekti, npr. poboljšanja (kvalitativna procjena)</t>
  </si>
  <si>
    <t>Izraženo pozitivni efekti, npr. zbog dugoročno pozitivnih učinaka (kvalitativna procjena)</t>
  </si>
  <si>
    <t>Stručna oblast Prostorno planiranje: Kriterij 4 "Poljoprivreda"</t>
  </si>
  <si>
    <t>Učešće poljoprivrednog zemljišta I - IV katastarske klase iznad 50 %</t>
  </si>
  <si>
    <t>Učešće poljoprivrednog zemljišta I - IV katastarske klase 25 – 50 %</t>
  </si>
  <si>
    <t>Učešće poljoprivrednog zemljišta I - IV katastarske klase ispod 25 %</t>
  </si>
  <si>
    <t>Isključivo poljoprivredno zemljište V - VIII katastarske klase</t>
  </si>
  <si>
    <t>Bez poljoprivrednog zemljišta</t>
  </si>
  <si>
    <t>Stručna oblast Prostorno planiranje: Kriterij 5 "Šumarstvo"</t>
  </si>
  <si>
    <t>Učešće šumskog zemljišta I - IV katastarske klase iznad 50 %</t>
  </si>
  <si>
    <t>Učešće šumskog zemljišta I - IV katastarske klase 25 – 50 %</t>
  </si>
  <si>
    <t>Učešće šumskog zemljišta I - IV katastarske klase ispod 25 %</t>
  </si>
  <si>
    <t>Isključivo šumsko zemljište V - VIII katastarske klase</t>
  </si>
  <si>
    <t>Bez šumskog zemljišta</t>
  </si>
  <si>
    <t>Enklavski položaj obuhvata MHE unutar većih šumskih kompleksa snižava ocjene 2, 3 i 4 za jedan bod.</t>
  </si>
  <si>
    <t>Izgradnja male hidroelektrane unutar zaštitne zone kulturnog dobra</t>
  </si>
  <si>
    <t>Mogućnost ocjene kriterija</t>
  </si>
  <si>
    <t>Da li je Kulturno dobro  uopšte pod uticajem MHE?</t>
  </si>
  <si>
    <t>Snažni negativni efekti na kulturno dobro</t>
  </si>
  <si>
    <t>Negativni efekti na kulturno dobro</t>
  </si>
  <si>
    <t>Neutralni efekti na kulturno dobro</t>
  </si>
  <si>
    <t>Pozitivni efekti na kulturno dobro</t>
  </si>
  <si>
    <t>Veoma pozitivni efekti na kulturno dobro</t>
  </si>
  <si>
    <t>Stručna oblast Prostorno planiranje: Kriteri 6 "Kulturna dobra"</t>
  </si>
  <si>
    <t>Stručna oblast Prostorno planiranje: Kriterij 7 "Turizam"</t>
  </si>
  <si>
    <t>Da li je turistička infrastruktura  uopšte pod uticajem MHE?</t>
  </si>
  <si>
    <t>Stručna oblast Prostorno planiranje: Kriterij 8 "Mineralni resursi"</t>
  </si>
  <si>
    <t>Korištenje mineralnog resursa iz faze izgradnje i faze rada nije moguće ili je zanemarljivo (do 5 %)</t>
  </si>
  <si>
    <t>Korištenje 5 – 25 % mineralnog resursa iz faze izgradnje i faze rada</t>
  </si>
  <si>
    <t>Korištenje 25 – 50 % mineralnog resursa iz faze izgradnje i faze rada</t>
  </si>
  <si>
    <t>Korištenje 50 – 75 % mineralnog resursa iz faze izgradnje i faze rada</t>
  </si>
  <si>
    <t>Korištenje 75 – 100 % mineralnog resursa iz faze izgradnje i faze rada</t>
  </si>
  <si>
    <t>Stručna oblast Prostorno planiranje: Kriterij 9 "Lokalna privreda"</t>
  </si>
  <si>
    <t>Godišnja koncesiona naknada - KM</t>
  </si>
  <si>
    <t>MHE instalisane snage ispod 250 kW u RS se ocjenjuju sa 1, pošto se za njih ne naplaćuje koncesiona naknada.</t>
  </si>
  <si>
    <t>Stručna oblast Prostorno planiranje: Ukupna ocjena</t>
  </si>
  <si>
    <t>Primjenjeni težinski udio</t>
  </si>
  <si>
    <t>Težinski udio kriterija</t>
  </si>
  <si>
    <t>1. Prostorno planska dokumentacija</t>
  </si>
  <si>
    <t>2. Direktno korištenje tekućih voda</t>
  </si>
  <si>
    <t>3. Infrastruktura</t>
  </si>
  <si>
    <t>4. Poljoprivreda</t>
  </si>
  <si>
    <t>5. Šumarstvo</t>
  </si>
  <si>
    <t>6. Kulturna dobra</t>
  </si>
  <si>
    <t>7. Turizam</t>
  </si>
  <si>
    <t>8. Mineralni resursi</t>
  </si>
  <si>
    <t>9. Lokalna privreda</t>
  </si>
  <si>
    <t>Ukupna ocjena (opseg 1-5 )</t>
  </si>
  <si>
    <t xml:space="preserve">Pretvaranje rezultata u opsg ocjene od  0 do 5 </t>
  </si>
  <si>
    <t>Ukupna ocjena (opesg 0-5 )</t>
  </si>
  <si>
    <t>od maksimalne moguće ocjene</t>
  </si>
  <si>
    <t>Stručna oblast Ekologija voda: Kriterij 1 "Hidromorfologija"</t>
  </si>
  <si>
    <t xml:space="preserve">Dužina V.T. </t>
  </si>
  <si>
    <t>Hidromorfološki status vodnog tijela na teritoriji FBiH i RS</t>
  </si>
  <si>
    <t>Težinski udio hidromorfologije</t>
  </si>
  <si>
    <t>Ukupna dužina vodnih tijela pod uticajem</t>
  </si>
  <si>
    <t>Ocjena hidromorfološkog statusa vodnih tijela na području FBiH i RS</t>
  </si>
  <si>
    <t>Dionice vodnog tijela sa visokim statusom iznose  &lt; 20% ukupne dužine određenog tipa vodnog tijela vodotoka na području FBiH odnosno RS</t>
  </si>
  <si>
    <t xml:space="preserve">Dionice vodnog tijela sa visokim statusom iznose  &gt;20% ukupne dužine određenog tipa vodnog	 tijela vodotoka na području FBiH odnosno RS </t>
  </si>
  <si>
    <t>Ocjena kriterija hidromorfologija</t>
  </si>
  <si>
    <t>Kvalitet hidromorfološke strukture vodnog tijela Klasa 1- prirodno stanje, na dužini od minimalno 1 km ( ili ukupnoj dužini za vodna tijela &lt;1 km)</t>
  </si>
  <si>
    <t xml:space="preserve">Kvalitet hidromorfološke strukture Klasa 1- prirodno stanje, na dužini od samo 500 m, </t>
  </si>
  <si>
    <t>Kvalitet hidromorfološke strukture Klasa 2- neznatno izmijenjeno stanje, na dužini od &gt;500 m</t>
  </si>
  <si>
    <t>Kvalitet hidromorfološke strukture Klase 3 -5 (Umjereno izmijenjeno do Jako izmijenjeno) na dužini od &gt;0,5 km</t>
  </si>
  <si>
    <t>Veoma osjetljivo</t>
  </si>
  <si>
    <t>Osjetljivo</t>
  </si>
  <si>
    <t>nisko do srednje osjetljivo</t>
  </si>
  <si>
    <t>Broj V.T.</t>
  </si>
  <si>
    <t>Ocjena hidromorfološkog stanja</t>
  </si>
  <si>
    <t>Težinski udjeli</t>
  </si>
  <si>
    <t>Stručna oblast Ekologija voda: Kriterij 2 "Ekološki status"</t>
  </si>
  <si>
    <t>Ekološki status vodnog tijela je visok (da/ne)?</t>
  </si>
  <si>
    <t>Ocjena kriterija Ekološki status</t>
  </si>
  <si>
    <t>Stručna oblast Ekologija voda: Kriterij 3 "Površina sliva"</t>
  </si>
  <si>
    <t>Broj V.T:</t>
  </si>
  <si>
    <t>Ime V.T.</t>
  </si>
  <si>
    <t>Površina sliva MHE (km2)</t>
  </si>
  <si>
    <t>Ocjena kriterija površina sliva</t>
  </si>
  <si>
    <t>Projekt na slivu površine &lt;10 km2</t>
  </si>
  <si>
    <t>Projekat na slivu 10 – 30 km2</t>
  </si>
  <si>
    <t>Projekat na slivu većem od 30 km2</t>
  </si>
  <si>
    <t>Stručna oblast Ekologija voda: Kriterij 4 "Posebni tipovi vodnih tijela"</t>
  </si>
  <si>
    <t>Ocjena vrste vodnog tijela</t>
  </si>
  <si>
    <t>Posebni tipovi vodnog tijela</t>
  </si>
  <si>
    <t>Obilježja posebnih tipova vodnih tijela</t>
  </si>
  <si>
    <t>Ocjena obilježja p.t. v.t.</t>
  </si>
  <si>
    <t>Ocjena kriterija posebni tipovi vodnog tijela</t>
  </si>
  <si>
    <t>Vrste vodnih tijela</t>
  </si>
  <si>
    <t>Nema posebne vrste vodnog tijela</t>
  </si>
  <si>
    <t>Mali planinski vodotoci na nadmorskom visinom &gt;800 m (tipovi definisani Planovima upravljanja vodama FBiH i RS</t>
  </si>
  <si>
    <t xml:space="preserve">Izlazni tok iz jezera (uopćeno), </t>
  </si>
  <si>
    <t>Potoci iz tresetišta,</t>
  </si>
  <si>
    <t>Izvorišna voda i vodna tijela obilježena podzemnim vodama  (vrela, rukavci, izvorišni potoci),</t>
  </si>
  <si>
    <t>Termalni potoci</t>
  </si>
  <si>
    <t xml:space="preserve">Dionice infiltracije bez ugrožavanja površinskog vodenog tijela    </t>
  </si>
  <si>
    <t>Podzemne rijeke sa negativnim uticajem na podzemna vodna tijela</t>
  </si>
  <si>
    <t>Osjetiljivost</t>
  </si>
  <si>
    <t>Nisko do srednje osjetljivo</t>
  </si>
  <si>
    <t>Ocjena kriterija Obilježja posebnih tipova vodnih tijela</t>
  </si>
  <si>
    <t>Posebne vrste obilježja</t>
  </si>
  <si>
    <t>Nema posebnih vrsta obilježja</t>
  </si>
  <si>
    <t>Meandri</t>
  </si>
  <si>
    <t>Razgranati tokovi</t>
  </si>
  <si>
    <t>Klanci (linija udara vode pretežno osnovna stijena)</t>
  </si>
  <si>
    <t>Sedrene barijere</t>
  </si>
  <si>
    <t>Vodopadi ≥ 10m</t>
  </si>
  <si>
    <t>Vodopadi &lt; 10 m</t>
  </si>
  <si>
    <t>Kanjoni</t>
  </si>
  <si>
    <t>Kaskade</t>
  </si>
  <si>
    <t>Stručna oblast Ekologija voda: Kriterij 5 "Postojanje mrijestilišta"</t>
  </si>
  <si>
    <t>Da li na dionici vodotoka pot uticajem projekta se nalazi prirodno riblje mrijestillište (Revir)? (da/ne)?</t>
  </si>
  <si>
    <t>Ocjena kriterija Postojanje mrijestilišta</t>
  </si>
  <si>
    <t>Veoma osjetiljivo</t>
  </si>
  <si>
    <t>Stručna oblast Ekologija voda: Kriterij 6 "Putevi slobodnog toka"</t>
  </si>
  <si>
    <t>Ocjena kriterija Putevi slobodnog toka</t>
  </si>
  <si>
    <t>Veoma osjetljivo:</t>
  </si>
  <si>
    <t>Osjetljivo:</t>
  </si>
  <si>
    <t>Nisko do srednje osjetljivo:</t>
  </si>
  <si>
    <t>Dijeljenje dionice slobodnog toka izgradnjom više pregrada, na glavni vodotok (rang 1) i na njegove pritoke na udaljenosti od 2 km u odnosu na ušće pritoke u glavni vodotok. Presijecanje prirodnih migracionih puteva riba, stvaranje uspora na pritokama koje predstavljaju stanište za određene vrste ribe i kojima izmjena režima tečenja vode pod usporom znači i izmjenu neophodnih stanišnih uvjeta.
Dužina neporemećenog slobodnog protoka je manja od 5 km na pritokama ranga 4 i 5 (RV 4-5) ili manja od 1 km na pritokama ranga 6 (RV 6)</t>
  </si>
  <si>
    <t>Dijeljenje dinioce jednom pregradom unutar 2 km, odnosno 1 km (ostale prioritetne vode). Dužina neporemećenog slobodnog protoka je veća od 5 km na pritokama ranga 4 i 5 (RV 4-5) ili veća od 1 km na pritokama ranga 6 (RV 6)</t>
  </si>
  <si>
    <t>Nema značajnijih promjena stanišnih uvjeta niti značajnije prepreke kretanju riba</t>
  </si>
  <si>
    <t>Stručna oblast Ekologija voda: Kriterij 7 "Toplotno zagađenje"</t>
  </si>
  <si>
    <t>Ocjena kriterija Toplotno zagađenje</t>
  </si>
  <si>
    <t>Toplotno zagađenje i utjecaj na biocenozu</t>
  </si>
  <si>
    <t>Totplotno zagađenje je izazvalo već prepoznatljive promjene biocenoze (npr. promjene uvjeta dominacije, pomicanje biocenotskog područja sa povišenim udjelima kod dubokih predjela rijeke).</t>
  </si>
  <si>
    <t>Toplotno zagađenje bez prepoznatljivih posljedica na biocenozu.</t>
  </si>
  <si>
    <t>Nema toplotnog zagađenja</t>
  </si>
  <si>
    <t>Stručna oblast Ekologija voda: Kriterij 8 "Veličina akumulacije"</t>
  </si>
  <si>
    <t xml:space="preserve">Veličina slivnog područja </t>
  </si>
  <si>
    <t>Velična akumulacije (m)</t>
  </si>
  <si>
    <t>Ocjena kriterija Veličina akumulacije</t>
  </si>
  <si>
    <t>Pomoćne vrijednosti za klasifikaciju u  km2</t>
  </si>
  <si>
    <t>Klasifikacija km2</t>
  </si>
  <si>
    <t>Klasifikacija m</t>
  </si>
  <si>
    <t>Veličina slivnog područja km2</t>
  </si>
  <si>
    <t>Veličina akumulacije</t>
  </si>
  <si>
    <t>Stručna oblast Ekologija voda: Ukupna ocjena</t>
  </si>
  <si>
    <t>Ukupno bodovanje za pojedinačno vodno tijelo koje je pod uticajem MHE</t>
  </si>
  <si>
    <t>Težinski udio koji se daje vodnim tijelima sa ocjenom 0</t>
  </si>
  <si>
    <t>Hidromorfologija</t>
  </si>
  <si>
    <t>Ekološki status</t>
  </si>
  <si>
    <t>Površina sliva</t>
  </si>
  <si>
    <t>Postojanje mrijestilišta</t>
  </si>
  <si>
    <t>Putevi slobodnog toka</t>
  </si>
  <si>
    <t>Toplotno zagađenje</t>
  </si>
  <si>
    <t>Obilježja posebni tipova vodnih tijela</t>
  </si>
  <si>
    <t>Pregled ocjene po kriterijima</t>
  </si>
  <si>
    <t>Težinski udjeli ocjenjenih kriterija</t>
  </si>
  <si>
    <t>Broj "veoma osjetljivih" kriterija sa težinskim udjelom ***</t>
  </si>
  <si>
    <t>Broj  "veoma osjetljivih" kriterija</t>
  </si>
  <si>
    <t>Srednji težinski udio</t>
  </si>
  <si>
    <t xml:space="preserve">Srednji težinski udio "veoma osjetljeivih" kriterija </t>
  </si>
  <si>
    <t>Broj "veoma osjetljivih" /i "osjetljivih" kao i težinski udio "veoma osjetljivih" kriterija</t>
  </si>
  <si>
    <t>Broj "osjeteljivih" kriterija</t>
  </si>
  <si>
    <t>Poređenje broj "veoma osjeteljivih" (uključujući težinski udio) i "osjeteljivi " kriteriji sa načinom bodovanja</t>
  </si>
  <si>
    <t>Težinski udio pojedinačnih kriterija - pomoćna tabela</t>
  </si>
  <si>
    <t>Ukupna ocjena za Ekologiju voda</t>
  </si>
  <si>
    <t>Provjera da li su kriteriji ocijenjeni</t>
  </si>
  <si>
    <t>Ukupno</t>
  </si>
  <si>
    <t>Pristup ocjenjivanju za Ekologiju voda</t>
  </si>
  <si>
    <t>nisko</t>
  </si>
  <si>
    <t>srednje</t>
  </si>
  <si>
    <t>visoko</t>
  </si>
  <si>
    <t>Razina 1: Ne odgovara nijedan osjetljivi kriterij</t>
  </si>
  <si>
    <t>Razina 2 : Odgovaraju osjetljivi kriteriji</t>
  </si>
  <si>
    <t>Razina 3:  1 veoma osjetljivi kriterij ( mala težina i srednja težina)</t>
  </si>
  <si>
    <t>Razina 3:  1 veoma osjetljivi kriterij (visoka težina)</t>
  </si>
  <si>
    <t>Razina 3: 2 veoma osjetljiva kriterija (mala težina)</t>
  </si>
  <si>
    <t>Razina 3:  2 veoma osjetljiva kriterija ( srednja težina)</t>
  </si>
  <si>
    <t>Razina 3:  2 veoma osjetljiva kriterija (visoka težina)</t>
  </si>
  <si>
    <t>Razina 3:  &gt;= 3 veoma osjetljiva kriterija (mala težina)</t>
  </si>
  <si>
    <t>Razina 3: &gt;=3 veoma osjetljiva kriterija (srednja težina)</t>
  </si>
  <si>
    <t>Razina 3: &gt;=3 veoma osjetljiva kriterija (najmanje 2 sa udjelom procjene od ***) ili visok ekološki status</t>
  </si>
  <si>
    <t>EV1</t>
  </si>
  <si>
    <t>EV2</t>
  </si>
  <si>
    <t>EV3</t>
  </si>
  <si>
    <t>EV4.1</t>
  </si>
  <si>
    <t>EV4.2</t>
  </si>
  <si>
    <t>EV5</t>
  </si>
  <si>
    <t>EV6</t>
  </si>
  <si>
    <t>EV7</t>
  </si>
  <si>
    <t>EV8</t>
  </si>
  <si>
    <t>Stručna oblast Zaštita prirode: Kriterij 1 "Zaštita vrsta"</t>
  </si>
  <si>
    <t>Ugrožavanje jedinke, dijela populacije ili populacija divljih vrsta kritično ugroženih (CR,RE) ili ugroženi (EN) ili ranjive (VU) u FBiH i RS</t>
  </si>
  <si>
    <t>0 bodova</t>
  </si>
  <si>
    <t>1 bod</t>
  </si>
  <si>
    <t>2 boda</t>
  </si>
  <si>
    <t>3 boda</t>
  </si>
  <si>
    <t>4 boda</t>
  </si>
  <si>
    <t>5 bodova</t>
  </si>
  <si>
    <t>Ugrožene populacije ili dijelovi populacije ugroženih (EN) ili ranjivih (VU) vrsta u FBiH ili RS</t>
  </si>
  <si>
    <t>Ugrožene populacije/ dijelovi populacija gotovo ugroženih vrsta (NT) ili vrsta s nedovoljnim podacima (DD) u FBiH ili RS</t>
  </si>
  <si>
    <t>Negativne posljedice po pojedinačne primjerke vrsta koje nisu ugrožene (LC) i, ili za koje su dodjeljena 2 boda za slučaj negativnih posljedica na nivou populacija ili dijelova populacije</t>
  </si>
  <si>
    <t>Negativni utjecaji na pojedine jedinke iz neugroženih vrsta</t>
  </si>
  <si>
    <t>Bez utjecaja na ugrožene i, ili zaštićene vrste, niti na populacije ili subpopulacije, čak I na individualnom nivou</t>
  </si>
  <si>
    <t>Stručna oblast Zaštita prirode: Kriterij 2 "Zaštita prirodnih staništa"</t>
  </si>
  <si>
    <t>Negativne posljedice visokog inenziteta po prioritetne tipove životnog prostora prema aneksu 1 Direktive o staništima ako je stanje očuvanosti A ili B, moguća redukcija površina,  i, ili negativne posljedice visokog inenziteta po tipove staništa kojima prijeti nestajanje (CR) ili koji se u određenoj regiji smatraju potpuno uništenim (RE), ako je utjecaj stalan.</t>
  </si>
  <si>
    <t>Negativne posljedice visokog inenziteta po jako ugrožene tipove staništa (EN), moguća redukcija površina i, ili manje do srednje izražene negativne posljedice po tipove staništa kojima prijeti nestajanje (CR) ili koji se u određenoj regiji smatraju potpuno uništenim (RE), nema redukcije površina</t>
  </si>
  <si>
    <t>Negativne posljedice visokog inenziteta po ugrožene tipove staništa (VU), moguća redukcija površina i, ili manje do srednje izražene negativne posljedice po jako ugrožene tipove staništa (EN), nema redukcije površina</t>
  </si>
  <si>
    <t>Negativne posljedice visokog inenziteta po neugrožene, zaštićene tipove staništa, moguća redukcija površina i, ili manje do srednje izražene negativne posljedice po ugrožene tipove staništa (VU), nema redukcije površina</t>
  </si>
  <si>
    <t>Negativne posljedice visokog inenziteta po neugrožene, nezaštićene tipove staništa koja se brzo regeneriraju ili po staništa na koja je izvršen jak antropogeni utjecaj bez vrijednih elemenata kulturnog pejzaža, moguća redukcija površina i, ili manje do srednje izražene negativne posljedice po neugrožene, zaštićene tipove staništa, nema redukcije površina</t>
  </si>
  <si>
    <t>Negativne posljedice manjeg do srednjeg intenziteta po neugrožene i nezaštićene tipove staništa koja se brzo regeneriraju ili po staništa na koje je izvršen jak antropogeni utjecaj bez vrijednih elemenata kulturnog pejzaža, nema redukcije površina</t>
  </si>
  <si>
    <t>Stručna oblast Zaštita prirode: Kriterij 3 "Ekosistem"</t>
  </si>
  <si>
    <t>ime vodnog tijela</t>
  </si>
  <si>
    <t>Izražene ili djelomične negativne posljedice na prirodni ekosistem (izražena oštećenja: prirodni abiotički elementi potpuno transformirani u svom djelovanju i populacije pojedinih vrsta nisu više u stanju da prežive u području djelovanja projekata )</t>
  </si>
  <si>
    <t>Izražene negativne posljedice na djelimično prirodni ekosistem (funkcije su djelomično u prirodnom odnosno u stanju sličnom prirodnom, dok su određene funkcije djelomično izmijenjene: npr. morfologija prirodna, hidrologija promijenjena)</t>
  </si>
  <si>
    <t>Djelomično negativne posljedice na djelomično (umjereno izmjenjen) prirodan ekosistem (prirodni abiotički elementi ostaju dijelom sačuvani npr. morfologija ostaje sačuvana, a hidrologija je izmijenjena; dominantni odnosi u populacijama izmijenjeni, nijedna vrsta neće nestati u području djelovanja projekata</t>
  </si>
  <si>
    <t>Negativne posljedice vrlo malog intenziteta na prirodni ekosistem odnosno na ekosisteme u stanju sličnom prirodnom (mala oštećenja: prirodni abiotički elementi u potpunosti ostaju očuvani i, ili dominantni odnosi u populacijama nisu izmijenjeni)</t>
  </si>
  <si>
    <t>Nema negativnih posljedica na ekosistem i, ili
Izražene negativne posljedice na potpuno oštećeni ekosistem i, ili 
Djelomično negativne posljedice na potpuno oštećeni ekosistem</t>
  </si>
  <si>
    <t>Procjena/definicija intervala</t>
  </si>
  <si>
    <t>Stručna oblast Zaštita prirode: Kriterij 4 "Pejzaž i rekreacijska vrijednost"</t>
  </si>
  <si>
    <t>A) Podkriterij "Vizuelna dostupnost"</t>
  </si>
  <si>
    <t>B) Podkriterij "Porijeklo elemenata"</t>
  </si>
  <si>
    <t>C) Podkriterij "Jedinstevnost"</t>
  </si>
  <si>
    <t>D) Podkriterij "Reprezentativnost"</t>
  </si>
  <si>
    <t>E) Podkriterij "Rekreacijska vrijednost"</t>
  </si>
  <si>
    <t>Ocjena vizuelne dostupnosti</t>
  </si>
  <si>
    <t>Ocjena porijeklo elemenata</t>
  </si>
  <si>
    <t>Ocjena Jedinstvenost</t>
  </si>
  <si>
    <t>Ocjena reprezentativnost</t>
  </si>
  <si>
    <t>Ocjena rekreativna vrijednost</t>
  </si>
  <si>
    <t>Ocjena vodnog tijela</t>
  </si>
  <si>
    <t>Intenzitet uticaja</t>
  </si>
  <si>
    <t>Ukupan zbir za podkriterije</t>
  </si>
  <si>
    <t>Izražen</t>
  </si>
  <si>
    <t>Srednji</t>
  </si>
  <si>
    <t>Neznatan</t>
  </si>
  <si>
    <t>Podkriterij Vizuelna dostupnost</t>
  </si>
  <si>
    <t>Uticaj projekta na pejzaž izvan prostora hidroelektrane i na prostoru hidroelektrane</t>
  </si>
  <si>
    <t>Uticaj projekta na pejzaž samo u zoni hidroelektrane</t>
  </si>
  <si>
    <t>Nema uticaja</t>
  </si>
  <si>
    <t>Ocjene</t>
  </si>
  <si>
    <t>Podkriterij Porijeklo elemenata</t>
  </si>
  <si>
    <t>Prirodno ili tradicionalna kultura</t>
  </si>
  <si>
    <t>Slično prirodnom stanju ili djelomično tradicionalna kultura</t>
  </si>
  <si>
    <t>Antropogeno transformirano</t>
  </si>
  <si>
    <t>Podkriterij Jedinstvenost</t>
  </si>
  <si>
    <t xml:space="preserve">Visoka </t>
  </si>
  <si>
    <t>Srednja</t>
  </si>
  <si>
    <t>mala</t>
  </si>
  <si>
    <t>Neznatna</t>
  </si>
  <si>
    <t>Podkriterij Reprezentativnost</t>
  </si>
  <si>
    <t>Elementi tipični, tipičnost dominira</t>
  </si>
  <si>
    <t>Elementi djelomično tipični, ali ne dominiraju</t>
  </si>
  <si>
    <t>Elementi netipični, strani području</t>
  </si>
  <si>
    <t>Podkriterij rekreativna vrijednost</t>
  </si>
  <si>
    <t>Zbir</t>
  </si>
  <si>
    <t xml:space="preserve"> Ukupna ocjena za kriterij "Pejzaž i rekreacijska vrijednost"</t>
  </si>
  <si>
    <t>Stručna oblast Zaštita prirode: Kriterij 5 "Prirodni značaj vodotoka"</t>
  </si>
  <si>
    <t>Vodotok na kome je planiran projekat hidroelektrane nalazi se unutar zaštićenog područja ili zaštićenih vodnih zona: izuzetno velika važnost očuvanja ili veoma veliki značaj (Prirodni rezervat i Područje Natura 2000)</t>
  </si>
  <si>
    <t>Vodotok na kome je planiran projekat hidroelektrane ne nalazi se u zaštićenom području ili zaštićenim vodnim zonama, ali je zbog utvrđenih prirodnih značajnosti i uticaja na prirodu, veoma važno očuvanje prostora ili se nalazi u II (pufer) zoni zaštićenog područja koje je veoma važno očuvati u utvrđenom stanju prirodnosti</t>
  </si>
  <si>
    <t>Vodotok na kome je planiran projekat hidroelektrane ne nalazi se u zaštićenom području ili zaštićenim vodnim zonama, ali je zbog utvrđenih značajnosti veoma važno očuvanje prostora ili se nalazi u III(tranzicijskoj) zoni zaštićenog područja (Nacionalni park)</t>
  </si>
  <si>
    <t xml:space="preserve"> projekat hidoelektrane zahvata prostor koji ima umjeren uticaj na zaštićeno područje u kategoriji pejzaža, parka prirode, regionalnog parka isl.</t>
  </si>
  <si>
    <t>Projekat planiran izvan prostora zaštićenog područja ali može uzrokovati umjerene posljedice na oblast zaštićenog područja (pejzaž, spomenik prirode i sl.)</t>
  </si>
  <si>
    <t xml:space="preserve">Projekat je planiran izvan zaštićenog područja  ali ima neznatan uticaj na zaštićeno područje </t>
  </si>
  <si>
    <t>Stručna oblast Zaštita prirode: Kriterij 6 "Osjetljivi tipovi voda"</t>
  </si>
  <si>
    <t>Evaulacija kriterija Osijeteljivi tipovi voda</t>
  </si>
  <si>
    <t>bez bodova</t>
  </si>
  <si>
    <t>Projekat hidroelektrane planiran na osjetljivom tipu voda</t>
  </si>
  <si>
    <t>vodotok na kojom je planiran projekat nije u kategoriji osjetljivih tipova voda</t>
  </si>
  <si>
    <t>Da li je projekat planiran na osjetljivom tipu voda?</t>
  </si>
  <si>
    <t>Stručna oblast Zaštite prirode: Kriterij 7 "Osjetljiva i jedinstvena vodna  tijela"</t>
  </si>
  <si>
    <t>Da li je projekat planiran na osjetljivom i jedinstenom vodnom tijelu(da/ne)?</t>
  </si>
  <si>
    <t>Stručna oblast Zaštite prirode: Ukupna ocjena</t>
  </si>
  <si>
    <t>ZP1 Zaštita vrsta</t>
  </si>
  <si>
    <t>ZP2 Zaštita prirodnog staništa</t>
  </si>
  <si>
    <t>ZP3 Ekosistem</t>
  </si>
  <si>
    <t>ZP4 Pejzaž i rekreacijaska vrijednost</t>
  </si>
  <si>
    <t>ZP5 Prirodni značaj vodotoka</t>
  </si>
  <si>
    <t>ZP6 Osjetljivi tipovi voda</t>
  </si>
  <si>
    <t>ZP7 Osjetljiva i jedinstvena vodna tijela</t>
  </si>
  <si>
    <t>Broj kriterija sa ocjenom 0:</t>
  </si>
  <si>
    <t>Ukupna ocjena za Zaštitu prirode</t>
  </si>
  <si>
    <t>ZP1</t>
  </si>
  <si>
    <t>ZP2</t>
  </si>
  <si>
    <t>ZP3</t>
  </si>
  <si>
    <t>ZP4</t>
  </si>
  <si>
    <t>ZP5</t>
  </si>
  <si>
    <t>ZP6</t>
  </si>
  <si>
    <t>ZP7</t>
  </si>
  <si>
    <t>Visoka</t>
  </si>
  <si>
    <t>MHE NAZIV</t>
  </si>
  <si>
    <t>Dužina vodnog tijela</t>
  </si>
  <si>
    <t>Stručna oblast Upravljanje vodama: Ukupna ocjena</t>
  </si>
  <si>
    <t>od maksmialne ocjene</t>
  </si>
  <si>
    <t>1. Stepen iskorištenosti hidropotencijala</t>
  </si>
  <si>
    <t>2. karakteristike hidroelektrane</t>
  </si>
  <si>
    <t>3. Efikasnost iskorištenja vode</t>
  </si>
  <si>
    <t>4. Promjena potencijala rizika</t>
  </si>
  <si>
    <t>5. Utjecaj na kvalitet vode (imisija)</t>
  </si>
  <si>
    <t>6. Utjecaj na podzemne vode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</si>
</sst>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 #,##0.00_-;\-* #,##0.00_-;_-* &quot;-&quot;??_-;_-@_-"/>
    <numFmt numFmtId="165" formatCode="#,##0.0\ &quot;Mio. €&quot;"/>
    <numFmt numFmtId="166" formatCode="#,##0.0\ &quot;km&quot;"/>
    <numFmt numFmtId="167" formatCode="#,##0.0\ &quot;m&quot;"/>
    <numFmt numFmtId="168" formatCode="#,##0.00\ &quot;GWh/a&quot;"/>
    <numFmt numFmtId="169" formatCode="#,##0.0\ &quot;GWh/a&quot;"/>
    <numFmt numFmtId="170" formatCode="#,##0.00\ &quot;million KM&quot;"/>
    <numFmt numFmtId="171" formatCode="#,##0.00\ &quot;KM/kWh&quot;"/>
    <numFmt numFmtId="172" formatCode="0\ &quot;points&quot;"/>
    <numFmt numFmtId="173" formatCode="#,##0.0\ &quot;kgCO2/MWh&quot;"/>
    <numFmt numFmtId="174" formatCode="#,##0\ &quot;tCO2/a&quot;"/>
    <numFmt numFmtId="175" formatCode="#,##0.00\ &quot;km/GWh&quot;"/>
    <numFmt numFmtId="176" formatCode="0\ &quot;point(s)&quot;"/>
    <numFmt numFmtId="177" formatCode="0.00\ &quot;points&quot;"/>
    <numFmt numFmtId="178" formatCode="#,##0.00\ &quot;m3/s&quot;"/>
    <numFmt numFmtId="179" formatCode="#,##0.00\ &quot;km&quot;"/>
    <numFmt numFmtId="180" formatCode="#,##0.000\ &quot;million KM&quot;"/>
    <numFmt numFmtId="181" formatCode="#,###\ &quot;kWel&quot;"/>
    <numFmt numFmtId="182" formatCode="#,##0\ &quot;MWh/a&quot;"/>
    <numFmt numFmtId="183" formatCode="0.0%"/>
    <numFmt numFmtId="184" formatCode="0.0\ &quot;points&quot;"/>
    <numFmt numFmtId="185" formatCode="#,##0\ &quot;m&quot;"/>
    <numFmt numFmtId="186" formatCode="#,###\ &quot;m/GWh&quot;"/>
    <numFmt numFmtId="187" formatCode="0.0"/>
    <numFmt numFmtId="188" formatCode="#,##0.0\ &quot;km2&quot;"/>
    <numFmt numFmtId="189" formatCode="#,##0.0\ &quot;days/a&quot;"/>
  </numFmts>
  <fonts count="70" x14ac:knownFonts="1">
    <font>
      <sz val="12"/>
      <color theme="1"/>
      <name val="Calibri"/>
      <family val="2"/>
      <scheme val="minor"/>
    </font>
    <font>
      <sz val="10"/>
      <name val="Arial"/>
      <family val="2"/>
    </font>
    <font>
      <b/>
      <sz val="10"/>
      <name val="Arial"/>
      <family val="2"/>
    </font>
    <font>
      <b/>
      <u/>
      <sz val="14"/>
      <name val="Arial"/>
      <family val="2"/>
    </font>
    <font>
      <sz val="12"/>
      <name val="Arial"/>
      <family val="2"/>
    </font>
    <font>
      <b/>
      <sz val="11"/>
      <name val="Arial"/>
      <family val="2"/>
    </font>
    <font>
      <b/>
      <sz val="12"/>
      <name val="Arial"/>
      <family val="2"/>
    </font>
    <font>
      <b/>
      <u/>
      <sz val="12"/>
      <name val="Arial"/>
      <family val="2"/>
    </font>
    <font>
      <b/>
      <sz val="16"/>
      <name val="Arial"/>
      <family val="2"/>
    </font>
    <font>
      <sz val="10"/>
      <color indexed="8"/>
      <name val="Arial"/>
      <family val="2"/>
    </font>
    <font>
      <b/>
      <sz val="10"/>
      <color indexed="8"/>
      <name val="Arial"/>
      <family val="2"/>
    </font>
    <font>
      <sz val="10"/>
      <color indexed="8"/>
      <name val="Tahoma"/>
      <family val="2"/>
    </font>
    <font>
      <sz val="10"/>
      <name val="Verdana"/>
      <family val="2"/>
    </font>
    <font>
      <sz val="10"/>
      <color indexed="8"/>
      <name val="Arial"/>
      <family val="2"/>
    </font>
    <font>
      <b/>
      <sz val="14"/>
      <name val="Arial"/>
      <family val="2"/>
    </font>
    <font>
      <sz val="8"/>
      <name val="Calibri"/>
      <family val="2"/>
    </font>
    <font>
      <b/>
      <sz val="28"/>
      <name val="Arial"/>
      <family val="2"/>
    </font>
    <font>
      <b/>
      <i/>
      <sz val="14"/>
      <name val="Arial"/>
      <family val="2"/>
    </font>
    <font>
      <i/>
      <sz val="10"/>
      <name val="Arial"/>
      <family val="2"/>
    </font>
    <font>
      <sz val="10"/>
      <color indexed="8"/>
      <name val="Verdana"/>
      <family val="2"/>
    </font>
    <font>
      <b/>
      <sz val="10"/>
      <color indexed="8"/>
      <name val="Arial"/>
      <family val="2"/>
    </font>
    <font>
      <sz val="12"/>
      <color theme="1"/>
      <name val="Calibri"/>
      <family val="2"/>
      <scheme val="minor"/>
    </font>
    <font>
      <sz val="10"/>
      <color theme="1"/>
      <name val="Arial"/>
      <family val="2"/>
    </font>
    <font>
      <sz val="12"/>
      <color theme="1"/>
      <name val="Arial"/>
      <family val="2"/>
    </font>
    <font>
      <b/>
      <sz val="12"/>
      <color theme="0"/>
      <name val="Arial"/>
      <family val="2"/>
    </font>
    <font>
      <b/>
      <sz val="18"/>
      <color rgb="FFFF0000"/>
      <name val="Arial"/>
      <family val="2"/>
    </font>
    <font>
      <b/>
      <sz val="10"/>
      <color rgb="FFFF0000"/>
      <name val="Arial"/>
      <family val="2"/>
    </font>
    <font>
      <b/>
      <sz val="12"/>
      <color rgb="FFFF0000"/>
      <name val="Calibri"/>
      <family val="2"/>
      <scheme val="minor"/>
    </font>
    <font>
      <sz val="8"/>
      <color theme="1"/>
      <name val="Arial"/>
      <family val="2"/>
    </font>
    <font>
      <sz val="12"/>
      <color rgb="FFFF0000"/>
      <name val="Arial"/>
      <family val="2"/>
    </font>
    <font>
      <b/>
      <sz val="10"/>
      <color theme="1"/>
      <name val="Arial"/>
      <family val="2"/>
    </font>
    <font>
      <b/>
      <sz val="16"/>
      <color rgb="FFFF0000"/>
      <name val="Arial"/>
      <family val="2"/>
    </font>
    <font>
      <b/>
      <sz val="24"/>
      <color rgb="FFFF0000"/>
      <name val="Arial"/>
      <family val="2"/>
    </font>
    <font>
      <sz val="12"/>
      <color theme="0"/>
      <name val="Calibri"/>
      <family val="2"/>
      <scheme val="minor"/>
    </font>
    <font>
      <b/>
      <sz val="14"/>
      <color theme="4"/>
      <name val="Calibri"/>
      <family val="2"/>
      <scheme val="minor"/>
    </font>
    <font>
      <b/>
      <sz val="16"/>
      <color theme="1"/>
      <name val="Calibri"/>
      <family val="2"/>
      <scheme val="minor"/>
    </font>
    <font>
      <sz val="14"/>
      <color theme="1"/>
      <name val="Calibri"/>
      <family val="2"/>
      <scheme val="minor"/>
    </font>
    <font>
      <sz val="8"/>
      <color theme="1"/>
      <name val="Calibri"/>
      <family val="2"/>
      <scheme val="minor"/>
    </font>
    <font>
      <sz val="12"/>
      <color theme="0" tint="-0.14999847407452621"/>
      <name val="Arial"/>
      <family val="2"/>
    </font>
    <font>
      <sz val="12"/>
      <color theme="1"/>
      <name val="Times New Roman"/>
      <family val="1"/>
    </font>
    <font>
      <sz val="10"/>
      <color theme="6"/>
      <name val="Arial"/>
      <family val="2"/>
    </font>
    <font>
      <b/>
      <sz val="10"/>
      <color theme="6"/>
      <name val="Arial"/>
      <family val="2"/>
    </font>
    <font>
      <b/>
      <sz val="12"/>
      <color theme="1"/>
      <name val="Arial"/>
      <family val="2"/>
    </font>
    <font>
      <sz val="10"/>
      <color theme="0" tint="-0.14999847407452621"/>
      <name val="Arial"/>
      <family val="2"/>
    </font>
    <font>
      <sz val="10"/>
      <color rgb="FFFF0000"/>
      <name val="Arial"/>
      <family val="2"/>
    </font>
    <font>
      <b/>
      <sz val="10"/>
      <color theme="0" tint="-0.14999847407452621"/>
      <name val="Arial"/>
      <family val="2"/>
    </font>
    <font>
      <sz val="10"/>
      <color rgb="FF000000"/>
      <name val="Arial"/>
      <family val="2"/>
    </font>
    <font>
      <b/>
      <sz val="10"/>
      <color rgb="FF000000"/>
      <name val="Arial"/>
      <family val="2"/>
    </font>
    <font>
      <b/>
      <sz val="12"/>
      <color theme="0" tint="-0.14999847407452621"/>
      <name val="Arial"/>
      <family val="2"/>
    </font>
    <font>
      <sz val="12"/>
      <color theme="0" tint="-0.14999847407452621"/>
      <name val="Calibri"/>
      <family val="2"/>
      <scheme val="minor"/>
    </font>
    <font>
      <b/>
      <sz val="14"/>
      <color theme="1"/>
      <name val="Arial"/>
      <family val="2"/>
    </font>
    <font>
      <b/>
      <sz val="18"/>
      <color theme="1"/>
      <name val="Arial"/>
      <family val="2"/>
    </font>
    <font>
      <sz val="10"/>
      <color rgb="FF000000"/>
      <name val="Calibri"/>
      <family val="2"/>
    </font>
    <font>
      <b/>
      <u/>
      <sz val="14"/>
      <color theme="1"/>
      <name val="Calibri"/>
      <family val="2"/>
      <scheme val="minor"/>
    </font>
    <font>
      <b/>
      <u/>
      <sz val="12"/>
      <color theme="1"/>
      <name val="Arial"/>
      <family val="2"/>
    </font>
    <font>
      <sz val="10"/>
      <color rgb="FF000000"/>
      <name val="Tahoma"/>
      <family val="2"/>
    </font>
    <font>
      <sz val="9"/>
      <color rgb="FF000000"/>
      <name val="Verdana"/>
      <family val="2"/>
    </font>
    <font>
      <sz val="8"/>
      <name val="Calibri"/>
      <family val="2"/>
      <scheme val="minor"/>
    </font>
    <font>
      <sz val="12"/>
      <color rgb="FF000000"/>
      <name val="Calibri"/>
      <family val="2"/>
    </font>
    <font>
      <sz val="8"/>
      <color indexed="8"/>
      <name val="Arial"/>
      <family val="2"/>
    </font>
    <font>
      <sz val="8"/>
      <color rgb="FFFF0000"/>
      <name val="Arial"/>
      <family val="2"/>
    </font>
    <font>
      <sz val="8"/>
      <name val="Verdana"/>
      <family val="2"/>
    </font>
    <font>
      <sz val="8"/>
      <color theme="9"/>
      <name val="Arial"/>
      <family val="2"/>
    </font>
    <font>
      <b/>
      <u/>
      <sz val="14"/>
      <color indexed="8"/>
      <name val="Arial"/>
      <family val="2"/>
    </font>
    <font>
      <b/>
      <u/>
      <sz val="10"/>
      <color indexed="8"/>
      <name val="Arial"/>
      <family val="2"/>
    </font>
    <font>
      <sz val="12"/>
      <color rgb="FFFF0000"/>
      <name val="Calibri"/>
      <family val="2"/>
      <scheme val="minor"/>
    </font>
    <font>
      <b/>
      <sz val="12"/>
      <color theme="1"/>
      <name val="Calibri"/>
      <family val="2"/>
      <charset val="238"/>
      <scheme val="minor"/>
    </font>
    <font>
      <b/>
      <sz val="10"/>
      <name val="Arial"/>
      <family val="2"/>
      <charset val="238"/>
    </font>
    <font>
      <sz val="11"/>
      <color theme="1"/>
      <name val="Times New Roman"/>
      <family val="1"/>
      <charset val="238"/>
    </font>
    <font>
      <b/>
      <sz val="11"/>
      <name val="Arial"/>
      <family val="2"/>
      <charset val="238"/>
    </font>
  </fonts>
  <fills count="23">
    <fill>
      <patternFill patternType="none"/>
    </fill>
    <fill>
      <patternFill patternType="gray125"/>
    </fill>
    <fill>
      <patternFill patternType="solid">
        <fgColor indexed="55"/>
        <bgColor indexed="64"/>
      </patternFill>
    </fill>
    <fill>
      <patternFill patternType="solid">
        <fgColor rgb="FF969696"/>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rgb="FF000000"/>
      </patternFill>
    </fill>
    <fill>
      <patternFill patternType="solid">
        <fgColor theme="8"/>
        <bgColor rgb="FF000000"/>
      </patternFill>
    </fill>
    <fill>
      <patternFill patternType="solid">
        <fgColor theme="5" tint="0.59999389629810485"/>
        <bgColor rgb="FF000000"/>
      </patternFill>
    </fill>
    <fill>
      <patternFill patternType="solid">
        <fgColor theme="0" tint="-0.34998626667073579"/>
        <bgColor rgb="FF000000"/>
      </patternFill>
    </fill>
    <fill>
      <patternFill patternType="solid">
        <fgColor theme="0" tint="-0.499984740745262"/>
        <bgColor indexed="64"/>
      </patternFill>
    </fill>
    <fill>
      <patternFill patternType="solid">
        <fgColor theme="8" tint="0.59999389629810485"/>
        <bgColor rgb="FF000000"/>
      </patternFill>
    </fill>
    <fill>
      <patternFill patternType="solid">
        <fgColor theme="8"/>
        <bgColor indexed="64"/>
      </patternFill>
    </fill>
    <fill>
      <patternFill patternType="solid">
        <fgColor theme="6"/>
        <bgColor indexed="64"/>
      </patternFill>
    </fill>
    <fill>
      <patternFill patternType="solid">
        <fgColor theme="6"/>
        <bgColor rgb="FF000000"/>
      </patternFill>
    </fill>
    <fill>
      <patternFill patternType="solid">
        <fgColor rgb="FFFF000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7" tint="0.79998168889431442"/>
        <bgColor rgb="FF000000"/>
      </patternFill>
    </fill>
    <fill>
      <patternFill patternType="solid">
        <fgColor theme="9"/>
        <bgColor indexed="64"/>
      </patternFill>
    </fill>
    <fill>
      <patternFill patternType="solid">
        <fgColor rgb="FFD9D9D9"/>
        <bgColor rgb="FF000000"/>
      </patternFill>
    </fill>
  </fills>
  <borders count="1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theme="1"/>
      </right>
      <top style="medium">
        <color theme="1"/>
      </top>
      <bottom style="medium">
        <color theme="1"/>
      </bottom>
      <diagonal/>
    </border>
    <border>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medium">
        <color theme="1"/>
      </left>
      <right style="medium">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medium">
        <color indexed="64"/>
      </right>
      <top style="medium">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medium">
        <color indexed="64"/>
      </right>
      <top style="medium">
        <color indexed="64"/>
      </top>
      <bottom style="medium">
        <color theme="1"/>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s>
  <cellStyleXfs count="6">
    <xf numFmtId="0" fontId="0" fillId="0" borderId="0"/>
    <xf numFmtId="9" fontId="21" fillId="0" borderId="0" applyFont="0" applyFill="0" applyBorder="0" applyAlignment="0" applyProtection="0"/>
    <xf numFmtId="9" fontId="13" fillId="0" borderId="0" applyFont="0" applyFill="0" applyBorder="0" applyAlignment="0" applyProtection="0"/>
    <xf numFmtId="0" fontId="22" fillId="0" borderId="0"/>
    <xf numFmtId="0" fontId="12" fillId="0" borderId="0"/>
    <xf numFmtId="164" fontId="21" fillId="0" borderId="0" applyFont="0" applyFill="0" applyBorder="0" applyAlignment="0" applyProtection="0"/>
  </cellStyleXfs>
  <cellXfs count="905">
    <xf numFmtId="0" fontId="0" fillId="0" borderId="0" xfId="0"/>
    <xf numFmtId="0" fontId="1" fillId="0" borderId="0" xfId="0" applyFont="1"/>
    <xf numFmtId="0" fontId="4" fillId="0" borderId="0" xfId="0" applyFont="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3" fillId="0" borderId="0" xfId="0" applyFont="1"/>
    <xf numFmtId="0" fontId="1" fillId="4" borderId="2" xfId="0" applyFont="1" applyFill="1" applyBorder="1"/>
    <xf numFmtId="0" fontId="1" fillId="4" borderId="3" xfId="0" applyFont="1" applyFill="1" applyBorder="1"/>
    <xf numFmtId="0" fontId="4" fillId="4" borderId="3" xfId="0" applyFont="1" applyFill="1" applyBorder="1"/>
    <xf numFmtId="0" fontId="4" fillId="4" borderId="4" xfId="0" applyFont="1" applyFill="1" applyBorder="1"/>
    <xf numFmtId="0" fontId="2" fillId="4" borderId="5" xfId="0" applyFont="1" applyFill="1" applyBorder="1" applyAlignment="1">
      <alignment vertical="center"/>
    </xf>
    <xf numFmtId="0" fontId="1" fillId="4" borderId="5" xfId="0" applyFont="1" applyFill="1" applyBorder="1"/>
    <xf numFmtId="0" fontId="2" fillId="4" borderId="5" xfId="0" applyFont="1" applyFill="1" applyBorder="1" applyAlignment="1">
      <alignment horizontal="center" vertical="center"/>
    </xf>
    <xf numFmtId="0" fontId="2" fillId="4" borderId="0" xfId="0" applyFont="1" applyFill="1" applyAlignment="1">
      <alignment vertical="center"/>
    </xf>
    <xf numFmtId="0" fontId="1" fillId="4" borderId="0" xfId="0" applyFont="1" applyFill="1"/>
    <xf numFmtId="0" fontId="2" fillId="4" borderId="0" xfId="0" applyFont="1" applyFill="1" applyAlignment="1">
      <alignment horizontal="center" vertical="center"/>
    </xf>
    <xf numFmtId="0" fontId="23" fillId="5" borderId="0" xfId="0" applyFont="1" applyFill="1"/>
    <xf numFmtId="0" fontId="2" fillId="4" borderId="6" xfId="0" applyFont="1" applyFill="1" applyBorder="1" applyAlignment="1">
      <alignment vertical="center"/>
    </xf>
    <xf numFmtId="0" fontId="1" fillId="4" borderId="6" xfId="0" applyFont="1" applyFill="1" applyBorder="1"/>
    <xf numFmtId="0" fontId="2" fillId="4" borderId="6" xfId="0" applyFont="1" applyFill="1" applyBorder="1" applyAlignment="1">
      <alignment horizontal="center" vertical="center"/>
    </xf>
    <xf numFmtId="0" fontId="1" fillId="4" borderId="7" xfId="0" applyFont="1" applyFill="1" applyBorder="1"/>
    <xf numFmtId="0" fontId="1" fillId="4" borderId="8" xfId="0" applyFont="1" applyFill="1" applyBorder="1"/>
    <xf numFmtId="0" fontId="4" fillId="4" borderId="8" xfId="0" applyFont="1" applyFill="1" applyBorder="1"/>
    <xf numFmtId="0" fontId="1" fillId="4" borderId="9" xfId="0" applyFont="1" applyFill="1" applyBorder="1"/>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169" fontId="2" fillId="3" borderId="1" xfId="0" applyNumberFormat="1" applyFont="1" applyFill="1" applyBorder="1" applyAlignment="1">
      <alignment horizontal="center" vertical="center"/>
    </xf>
    <xf numFmtId="166" fontId="2" fillId="6" borderId="1" xfId="0" applyNumberFormat="1" applyFont="1" applyFill="1" applyBorder="1" applyAlignment="1" applyProtection="1">
      <alignment horizontal="center" vertical="center"/>
      <protection locked="0"/>
    </xf>
    <xf numFmtId="170" fontId="2" fillId="3" borderId="1" xfId="0" applyNumberFormat="1" applyFont="1" applyFill="1" applyBorder="1" applyAlignment="1">
      <alignment horizontal="center" vertical="center"/>
    </xf>
    <xf numFmtId="0" fontId="1" fillId="4" borderId="8" xfId="0" applyFont="1" applyFill="1" applyBorder="1" applyAlignment="1">
      <alignment horizontal="left"/>
    </xf>
    <xf numFmtId="0" fontId="1" fillId="4" borderId="4" xfId="0" applyFont="1" applyFill="1" applyBorder="1"/>
    <xf numFmtId="0" fontId="3" fillId="4" borderId="6" xfId="0" applyFont="1" applyFill="1" applyBorder="1" applyAlignment="1">
      <alignment horizontal="left" vertical="center"/>
    </xf>
    <xf numFmtId="0" fontId="7" fillId="4" borderId="0" xfId="0" applyFont="1" applyFill="1" applyAlignment="1">
      <alignment vertical="center"/>
    </xf>
    <xf numFmtId="0" fontId="7" fillId="4" borderId="0" xfId="0" applyFont="1" applyFill="1" applyBorder="1" applyAlignment="1">
      <alignment vertical="center"/>
    </xf>
    <xf numFmtId="0" fontId="6" fillId="4" borderId="0" xfId="0" applyFont="1" applyFill="1" applyBorder="1" applyAlignment="1">
      <alignment vertical="center"/>
    </xf>
    <xf numFmtId="0" fontId="4" fillId="4" borderId="0" xfId="0" applyFont="1" applyFill="1" applyBorder="1"/>
    <xf numFmtId="0" fontId="2" fillId="4" borderId="0" xfId="0" applyFont="1" applyFill="1" applyBorder="1" applyAlignment="1">
      <alignment vertical="center"/>
    </xf>
    <xf numFmtId="0" fontId="1" fillId="4" borderId="0" xfId="0" applyFont="1" applyFill="1" applyBorder="1"/>
    <xf numFmtId="0" fontId="2" fillId="4" borderId="0" xfId="0" applyFont="1" applyFill="1" applyBorder="1" applyAlignment="1">
      <alignment horizontal="center" vertical="center"/>
    </xf>
    <xf numFmtId="0" fontId="1" fillId="4" borderId="0" xfId="0" applyFont="1" applyFill="1" applyBorder="1" applyAlignment="1">
      <alignment horizontal="center" vertical="center"/>
    </xf>
    <xf numFmtId="165" fontId="2" fillId="4" borderId="6" xfId="0" applyNumberFormat="1" applyFont="1" applyFill="1" applyBorder="1" applyAlignment="1">
      <alignment horizontal="center" vertical="center"/>
    </xf>
    <xf numFmtId="169" fontId="2" fillId="4" borderId="6" xfId="0" applyNumberFormat="1" applyFont="1" applyFill="1" applyBorder="1" applyAlignment="1">
      <alignment horizontal="center" vertical="center"/>
    </xf>
    <xf numFmtId="173" fontId="2" fillId="3" borderId="1" xfId="0" applyNumberFormat="1" applyFont="1" applyFill="1" applyBorder="1" applyAlignment="1">
      <alignment horizontal="center" vertical="center"/>
    </xf>
    <xf numFmtId="166" fontId="2" fillId="3" borderId="1" xfId="0" applyNumberFormat="1" applyFont="1" applyFill="1" applyBorder="1" applyAlignment="1">
      <alignment horizontal="center" vertical="center"/>
    </xf>
    <xf numFmtId="0" fontId="23" fillId="5" borderId="3" xfId="0" applyFont="1" applyFill="1" applyBorder="1"/>
    <xf numFmtId="0" fontId="23" fillId="5" borderId="0" xfId="0" applyFont="1" applyFill="1" applyBorder="1"/>
    <xf numFmtId="0" fontId="1" fillId="5" borderId="3" xfId="0" applyFont="1" applyFill="1" applyBorder="1"/>
    <xf numFmtId="0" fontId="3" fillId="5" borderId="0" xfId="0" applyFont="1" applyFill="1" applyBorder="1" applyAlignment="1">
      <alignment horizontal="left" vertical="center"/>
    </xf>
    <xf numFmtId="0" fontId="23" fillId="5" borderId="8" xfId="0" applyFont="1" applyFill="1" applyBorder="1"/>
    <xf numFmtId="0" fontId="1" fillId="5" borderId="8" xfId="0" applyFont="1" applyFill="1" applyBorder="1"/>
    <xf numFmtId="0" fontId="23" fillId="5" borderId="6" xfId="0" applyFont="1" applyFill="1" applyBorder="1"/>
    <xf numFmtId="0" fontId="22" fillId="0" borderId="0" xfId="0" applyFont="1"/>
    <xf numFmtId="0" fontId="7" fillId="4" borderId="2" xfId="0" applyFont="1" applyFill="1" applyBorder="1" applyAlignment="1">
      <alignment vertical="center"/>
    </xf>
    <xf numFmtId="0" fontId="7" fillId="4" borderId="5" xfId="0" applyFont="1" applyFill="1" applyBorder="1" applyAlignment="1">
      <alignment vertical="center"/>
    </xf>
    <xf numFmtId="0" fontId="7" fillId="4" borderId="7" xfId="0" applyFont="1" applyFill="1" applyBorder="1" applyAlignment="1">
      <alignment vertical="center"/>
    </xf>
    <xf numFmtId="0" fontId="7" fillId="4" borderId="3" xfId="0" applyFont="1" applyFill="1" applyBorder="1" applyAlignment="1">
      <alignment vertical="center"/>
    </xf>
    <xf numFmtId="0" fontId="7" fillId="4" borderId="8" xfId="0" applyFont="1" applyFill="1" applyBorder="1" applyAlignment="1">
      <alignment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7" fillId="4" borderId="9" xfId="0" applyFont="1" applyFill="1" applyBorder="1" applyAlignment="1">
      <alignment vertical="center"/>
    </xf>
    <xf numFmtId="172" fontId="23" fillId="0" borderId="0" xfId="0" applyNumberFormat="1" applyFont="1"/>
    <xf numFmtId="0" fontId="6" fillId="4" borderId="1" xfId="0" applyFont="1" applyFill="1" applyBorder="1" applyAlignment="1">
      <alignment horizontal="justify" vertical="center" wrapText="1"/>
    </xf>
    <xf numFmtId="0" fontId="6" fillId="4" borderId="10" xfId="0" applyFont="1" applyFill="1" applyBorder="1" applyAlignment="1">
      <alignment horizontal="center" vertical="center" wrapText="1"/>
    </xf>
    <xf numFmtId="0" fontId="2" fillId="4" borderId="7" xfId="0" applyFont="1" applyFill="1" applyBorder="1" applyAlignment="1">
      <alignment horizontal="center" vertical="center"/>
    </xf>
    <xf numFmtId="0" fontId="5" fillId="4" borderId="0" xfId="0" applyFont="1" applyFill="1" applyAlignment="1">
      <alignment vertical="center"/>
    </xf>
    <xf numFmtId="0" fontId="2" fillId="4" borderId="8" xfId="0" applyFont="1" applyFill="1" applyBorder="1" applyAlignment="1">
      <alignment horizontal="center" vertical="center"/>
    </xf>
    <xf numFmtId="0" fontId="3" fillId="4" borderId="0" xfId="0" applyFont="1" applyFill="1" applyAlignment="1">
      <alignment horizontal="left" vertical="center"/>
    </xf>
    <xf numFmtId="0" fontId="2" fillId="4" borderId="0" xfId="0" applyFont="1" applyFill="1" applyAlignment="1">
      <alignment horizontal="left" vertical="center"/>
    </xf>
    <xf numFmtId="0" fontId="0" fillId="5" borderId="3" xfId="0" applyFill="1" applyBorder="1"/>
    <xf numFmtId="0" fontId="6" fillId="3" borderId="1" xfId="0" applyFont="1" applyFill="1" applyBorder="1" applyAlignment="1">
      <alignment horizontal="center" vertical="center" wrapText="1"/>
    </xf>
    <xf numFmtId="0" fontId="0" fillId="5" borderId="0" xfId="0" applyFill="1" applyBorder="1"/>
    <xf numFmtId="0" fontId="0" fillId="5" borderId="8" xfId="0" applyFill="1" applyBorder="1"/>
    <xf numFmtId="171" fontId="2" fillId="7" borderId="1" xfId="0" applyNumberFormat="1" applyFont="1" applyFill="1" applyBorder="1" applyAlignment="1">
      <alignment horizontal="center" vertical="center"/>
    </xf>
    <xf numFmtId="174" fontId="2" fillId="7" borderId="1" xfId="0" applyNumberFormat="1" applyFont="1" applyFill="1" applyBorder="1" applyAlignment="1">
      <alignment horizontal="center" vertical="center"/>
    </xf>
    <xf numFmtId="175" fontId="2" fillId="7" borderId="1" xfId="0" applyNumberFormat="1" applyFont="1" applyFill="1" applyBorder="1" applyAlignment="1">
      <alignment horizontal="center" vertical="center"/>
    </xf>
    <xf numFmtId="9" fontId="23" fillId="0" borderId="0" xfId="1" applyFont="1"/>
    <xf numFmtId="0" fontId="1" fillId="4" borderId="11" xfId="0" applyFont="1" applyFill="1" applyBorder="1" applyAlignment="1">
      <alignment vertical="center"/>
    </xf>
    <xf numFmtId="9" fontId="1" fillId="4" borderId="12"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23" fillId="0" borderId="0" xfId="0" applyFont="1"/>
    <xf numFmtId="49" fontId="24" fillId="7" borderId="13" xfId="0" applyNumberFormat="1" applyFont="1" applyFill="1" applyBorder="1" applyAlignment="1">
      <alignment vertical="center"/>
    </xf>
    <xf numFmtId="49" fontId="24" fillId="7" borderId="60" xfId="0" applyNumberFormat="1" applyFont="1" applyFill="1" applyBorder="1" applyAlignment="1">
      <alignment vertical="center"/>
    </xf>
    <xf numFmtId="0" fontId="24" fillId="7" borderId="14" xfId="0" applyNumberFormat="1" applyFont="1" applyFill="1" applyBorder="1" applyAlignment="1">
      <alignment vertical="center"/>
    </xf>
    <xf numFmtId="176" fontId="1" fillId="4" borderId="12" xfId="0" applyNumberFormat="1" applyFont="1" applyFill="1" applyBorder="1" applyAlignment="1">
      <alignment horizontal="center" vertical="center"/>
    </xf>
    <xf numFmtId="177" fontId="24" fillId="7" borderId="10" xfId="0" applyNumberFormat="1" applyFont="1" applyFill="1" applyBorder="1" applyAlignment="1">
      <alignment horizontal="center" vertical="center"/>
    </xf>
    <xf numFmtId="0" fontId="25" fillId="0" borderId="0" xfId="0" applyFont="1"/>
    <xf numFmtId="178" fontId="2" fillId="6" borderId="1" xfId="0" applyNumberFormat="1" applyFont="1" applyFill="1" applyBorder="1" applyAlignment="1" applyProtection="1">
      <alignment horizontal="center" vertical="center"/>
      <protection locked="0"/>
    </xf>
    <xf numFmtId="0" fontId="22" fillId="5" borderId="1"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0" fontId="22" fillId="5" borderId="19" xfId="0" applyFont="1" applyFill="1" applyBorder="1" applyAlignment="1">
      <alignment horizontal="center" vertical="center"/>
    </xf>
    <xf numFmtId="0" fontId="22" fillId="5" borderId="20" xfId="0" applyFont="1" applyFill="1" applyBorder="1" applyAlignment="1">
      <alignment horizontal="center" vertical="center"/>
    </xf>
    <xf numFmtId="0" fontId="22" fillId="5" borderId="21" xfId="0" applyFont="1" applyFill="1" applyBorder="1" applyAlignment="1">
      <alignment horizontal="center" vertical="center"/>
    </xf>
    <xf numFmtId="182" fontId="2" fillId="3" borderId="1" xfId="0" applyNumberFormat="1" applyFont="1" applyFill="1" applyBorder="1" applyAlignment="1">
      <alignment horizontal="center" vertical="center"/>
    </xf>
    <xf numFmtId="2" fontId="22" fillId="5" borderId="22" xfId="0" applyNumberFormat="1" applyFont="1" applyFill="1" applyBorder="1" applyAlignment="1">
      <alignment horizontal="center" vertical="center"/>
    </xf>
    <xf numFmtId="2" fontId="22" fillId="5" borderId="23" xfId="0" applyNumberFormat="1" applyFont="1" applyFill="1" applyBorder="1" applyAlignment="1">
      <alignment horizontal="center" vertical="center"/>
    </xf>
    <xf numFmtId="3" fontId="22" fillId="5" borderId="24" xfId="0" applyNumberFormat="1" applyFont="1" applyFill="1" applyBorder="1" applyAlignment="1">
      <alignment horizontal="center" vertical="center"/>
    </xf>
    <xf numFmtId="3" fontId="22" fillId="5" borderId="25" xfId="0" applyNumberFormat="1" applyFont="1" applyFill="1" applyBorder="1" applyAlignment="1">
      <alignment horizontal="center" vertical="center"/>
    </xf>
    <xf numFmtId="3" fontId="22" fillId="5" borderId="19" xfId="0" applyNumberFormat="1" applyFont="1" applyFill="1" applyBorder="1" applyAlignment="1">
      <alignment horizontal="center" vertical="center"/>
    </xf>
    <xf numFmtId="3" fontId="22" fillId="5" borderId="22" xfId="0" applyNumberFormat="1" applyFont="1" applyFill="1" applyBorder="1" applyAlignment="1">
      <alignment horizontal="center" vertical="center"/>
    </xf>
    <xf numFmtId="3" fontId="22" fillId="5" borderId="23" xfId="0" applyNumberFormat="1" applyFont="1" applyFill="1" applyBorder="1" applyAlignment="1">
      <alignment horizontal="center" vertical="center"/>
    </xf>
    <xf numFmtId="2" fontId="22" fillId="5" borderId="15" xfId="0" applyNumberFormat="1" applyFont="1" applyFill="1" applyBorder="1" applyAlignment="1">
      <alignment horizontal="center" vertical="center"/>
    </xf>
    <xf numFmtId="2" fontId="22" fillId="5" borderId="24" xfId="0" applyNumberFormat="1" applyFont="1" applyFill="1" applyBorder="1" applyAlignment="1">
      <alignment horizontal="center" vertical="center"/>
    </xf>
    <xf numFmtId="2" fontId="22" fillId="5" borderId="25" xfId="0" applyNumberFormat="1" applyFont="1" applyFill="1" applyBorder="1" applyAlignment="1">
      <alignment horizontal="center" vertical="center"/>
    </xf>
    <xf numFmtId="0" fontId="1" fillId="4" borderId="0" xfId="0" applyFont="1" applyFill="1" applyBorder="1" applyAlignment="1">
      <alignment horizontal="center"/>
    </xf>
    <xf numFmtId="0" fontId="26" fillId="4" borderId="0" xfId="0" applyFont="1" applyFill="1" applyBorder="1" applyAlignment="1">
      <alignment horizontal="center"/>
    </xf>
    <xf numFmtId="0" fontId="27" fillId="0" borderId="0" xfId="0" applyFont="1"/>
    <xf numFmtId="0" fontId="6" fillId="2" borderId="1" xfId="0" applyFont="1" applyFill="1" applyBorder="1" applyAlignment="1">
      <alignment horizontal="center" vertical="center"/>
    </xf>
    <xf numFmtId="0" fontId="1" fillId="4" borderId="9" xfId="0" applyFont="1" applyFill="1" applyBorder="1" applyAlignment="1">
      <alignment vertical="center" wrapText="1"/>
    </xf>
    <xf numFmtId="0" fontId="6" fillId="2" borderId="10" xfId="0" applyFont="1" applyFill="1" applyBorder="1" applyAlignment="1">
      <alignment vertical="center"/>
    </xf>
    <xf numFmtId="0" fontId="2" fillId="4" borderId="26"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10" xfId="0" applyFont="1" applyFill="1" applyBorder="1" applyAlignment="1">
      <alignment vertical="center" wrapText="1"/>
    </xf>
    <xf numFmtId="0" fontId="6" fillId="2" borderId="10" xfId="0" applyFont="1" applyFill="1" applyBorder="1" applyAlignment="1">
      <alignment vertical="center" wrapText="1"/>
    </xf>
    <xf numFmtId="178" fontId="2" fillId="3" borderId="1" xfId="0" applyNumberFormat="1" applyFont="1" applyFill="1" applyBorder="1" applyAlignment="1">
      <alignment horizontal="center" vertical="center"/>
    </xf>
    <xf numFmtId="2" fontId="22" fillId="5" borderId="19" xfId="0" applyNumberFormat="1" applyFont="1" applyFill="1" applyBorder="1" applyAlignment="1">
      <alignment horizontal="center" vertical="center"/>
    </xf>
    <xf numFmtId="167" fontId="2" fillId="3" borderId="1" xfId="0" applyNumberFormat="1" applyFont="1" applyFill="1" applyBorder="1" applyAlignment="1">
      <alignment horizontal="center" vertical="center"/>
    </xf>
    <xf numFmtId="179" fontId="2" fillId="3" borderId="1" xfId="0" applyNumberFormat="1" applyFont="1" applyFill="1" applyBorder="1" applyAlignment="1">
      <alignment horizontal="center" vertical="center"/>
    </xf>
    <xf numFmtId="9" fontId="22" fillId="5" borderId="25" xfId="1" applyFont="1" applyFill="1" applyBorder="1" applyAlignment="1">
      <alignment horizontal="center" vertical="center"/>
    </xf>
    <xf numFmtId="183" fontId="22" fillId="5" borderId="15" xfId="1" applyNumberFormat="1" applyFont="1" applyFill="1" applyBorder="1" applyAlignment="1">
      <alignment horizontal="center" vertical="center"/>
    </xf>
    <xf numFmtId="183" fontId="22" fillId="5" borderId="24" xfId="1" applyNumberFormat="1" applyFont="1" applyFill="1" applyBorder="1" applyAlignment="1">
      <alignment horizontal="center" vertical="center"/>
    </xf>
    <xf numFmtId="183" fontId="22" fillId="5" borderId="19" xfId="1" applyNumberFormat="1" applyFont="1" applyFill="1" applyBorder="1" applyAlignment="1">
      <alignment horizontal="center" vertical="center"/>
    </xf>
    <xf numFmtId="183" fontId="22" fillId="5" borderId="22" xfId="1" applyNumberFormat="1" applyFont="1" applyFill="1" applyBorder="1" applyAlignment="1">
      <alignment horizontal="center" vertical="center"/>
    </xf>
    <xf numFmtId="183" fontId="22" fillId="5" borderId="23" xfId="1" applyNumberFormat="1" applyFont="1" applyFill="1" applyBorder="1" applyAlignment="1">
      <alignment horizontal="center" vertical="center"/>
    </xf>
    <xf numFmtId="0" fontId="28" fillId="5" borderId="0" xfId="0" applyFont="1" applyFill="1" applyBorder="1"/>
    <xf numFmtId="0" fontId="25" fillId="5" borderId="3" xfId="0" applyFont="1" applyFill="1" applyBorder="1"/>
    <xf numFmtId="0" fontId="29" fillId="0" borderId="0" xfId="0" applyFont="1"/>
    <xf numFmtId="0" fontId="30" fillId="4" borderId="0" xfId="0" applyFont="1" applyFill="1" applyBorder="1" applyAlignment="1">
      <alignment horizontal="center"/>
    </xf>
    <xf numFmtId="185" fontId="2" fillId="3" borderId="1" xfId="0" applyNumberFormat="1" applyFont="1" applyFill="1" applyBorder="1" applyAlignment="1">
      <alignment horizontal="center" vertical="center"/>
    </xf>
    <xf numFmtId="168" fontId="2" fillId="3" borderId="1" xfId="0" applyNumberFormat="1" applyFont="1" applyFill="1" applyBorder="1" applyAlignment="1">
      <alignment horizontal="center" vertical="center"/>
    </xf>
    <xf numFmtId="1" fontId="22" fillId="5" borderId="15" xfId="0" applyNumberFormat="1" applyFont="1" applyFill="1" applyBorder="1" applyAlignment="1">
      <alignment horizontal="center" vertical="center"/>
    </xf>
    <xf numFmtId="1" fontId="22" fillId="5" borderId="24" xfId="0" applyNumberFormat="1" applyFont="1" applyFill="1" applyBorder="1" applyAlignment="1">
      <alignment horizontal="center" vertical="center"/>
    </xf>
    <xf numFmtId="1" fontId="22" fillId="5" borderId="22" xfId="0" applyNumberFormat="1" applyFont="1" applyFill="1" applyBorder="1" applyAlignment="1">
      <alignment horizontal="center" vertical="center"/>
    </xf>
    <xf numFmtId="1" fontId="22" fillId="5" borderId="23" xfId="0" applyNumberFormat="1" applyFont="1" applyFill="1" applyBorder="1" applyAlignment="1">
      <alignment horizontal="center" vertical="center"/>
    </xf>
    <xf numFmtId="0" fontId="31" fillId="0" borderId="0" xfId="0" applyFont="1"/>
    <xf numFmtId="0" fontId="32" fillId="0" borderId="0" xfId="0" applyFont="1" applyAlignment="1">
      <alignment vertical="top"/>
    </xf>
    <xf numFmtId="0" fontId="23" fillId="0" borderId="0" xfId="0" applyFont="1" applyAlignment="1">
      <alignment vertical="center"/>
    </xf>
    <xf numFmtId="0" fontId="2" fillId="4" borderId="0" xfId="0" applyFont="1" applyFill="1" applyBorder="1" applyAlignment="1">
      <alignment horizontal="center" wrapText="1"/>
    </xf>
    <xf numFmtId="0" fontId="2" fillId="4" borderId="0" xfId="0" applyFont="1" applyFill="1" applyBorder="1" applyAlignment="1">
      <alignment wrapText="1"/>
    </xf>
    <xf numFmtId="0" fontId="0" fillId="0" borderId="0" xfId="0" applyAlignment="1">
      <alignment horizontal="left"/>
    </xf>
    <xf numFmtId="0" fontId="22" fillId="0" borderId="26" xfId="0" applyFont="1" applyBorder="1" applyAlignment="1">
      <alignment horizontal="center" vertical="center" wrapText="1"/>
    </xf>
    <xf numFmtId="9" fontId="21" fillId="0" borderId="0" xfId="1" applyFont="1"/>
    <xf numFmtId="180" fontId="2" fillId="9" borderId="1" xfId="0" applyNumberFormat="1" applyFont="1" applyFill="1" applyBorder="1" applyAlignment="1">
      <alignment horizontal="center" vertical="center"/>
    </xf>
    <xf numFmtId="9" fontId="0" fillId="0" borderId="0" xfId="0" applyNumberFormat="1" applyBorder="1" applyAlignment="1">
      <alignment horizontal="center"/>
    </xf>
    <xf numFmtId="9" fontId="0" fillId="0" borderId="6" xfId="0" applyNumberFormat="1" applyBorder="1" applyAlignment="1">
      <alignment horizontal="center"/>
    </xf>
    <xf numFmtId="0" fontId="0" fillId="0" borderId="3" xfId="0" applyBorder="1" applyAlignment="1">
      <alignment horizontal="left"/>
    </xf>
    <xf numFmtId="0" fontId="22" fillId="0" borderId="3" xfId="0" applyFont="1" applyBorder="1" applyAlignment="1">
      <alignment horizontal="left" vertical="center"/>
    </xf>
    <xf numFmtId="0" fontId="0" fillId="0" borderId="3" xfId="0" quotePrefix="1" applyBorder="1" applyAlignment="1">
      <alignment horizontal="left"/>
    </xf>
    <xf numFmtId="0" fontId="22" fillId="0" borderId="4" xfId="0" applyFont="1" applyBorder="1" applyAlignment="1">
      <alignment horizontal="left" vertical="center"/>
    </xf>
    <xf numFmtId="0" fontId="33" fillId="10" borderId="13" xfId="0" applyFont="1" applyFill="1" applyBorder="1" applyAlignment="1">
      <alignment horizontal="center" vertical="center"/>
    </xf>
    <xf numFmtId="0" fontId="33" fillId="10" borderId="14" xfId="0" applyFont="1" applyFill="1" applyBorder="1" applyAlignment="1">
      <alignment horizontal="center"/>
    </xf>
    <xf numFmtId="0" fontId="33" fillId="10" borderId="10" xfId="0" applyFont="1"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0" borderId="27" xfId="0" applyBorder="1" applyAlignment="1">
      <alignment horizontal="center"/>
    </xf>
    <xf numFmtId="0" fontId="22" fillId="0" borderId="27" xfId="0" applyFont="1" applyBorder="1" applyAlignment="1">
      <alignment horizontal="center" vertical="center" wrapText="1"/>
    </xf>
    <xf numFmtId="0" fontId="0" fillId="5" borderId="13" xfId="0" applyFill="1" applyBorder="1" applyAlignment="1">
      <alignment horizontal="left"/>
    </xf>
    <xf numFmtId="0" fontId="34" fillId="5" borderId="0" xfId="0" applyFont="1" applyFill="1"/>
    <xf numFmtId="0" fontId="0" fillId="5" borderId="0" xfId="0" applyFill="1"/>
    <xf numFmtId="0" fontId="0" fillId="5" borderId="2" xfId="0" applyFill="1" applyBorder="1"/>
    <xf numFmtId="0" fontId="0" fillId="5" borderId="5" xfId="0" applyFill="1" applyBorder="1"/>
    <xf numFmtId="0" fontId="0" fillId="5" borderId="5" xfId="0" applyFill="1" applyBorder="1" applyAlignment="1">
      <alignment horizontal="left"/>
    </xf>
    <xf numFmtId="0" fontId="0" fillId="5" borderId="7" xfId="0" applyFill="1" applyBorder="1"/>
    <xf numFmtId="0" fontId="0" fillId="5" borderId="0" xfId="0" applyFill="1" applyBorder="1" applyAlignment="1">
      <alignment horizontal="left"/>
    </xf>
    <xf numFmtId="0" fontId="0" fillId="5" borderId="4" xfId="0" applyFill="1" applyBorder="1"/>
    <xf numFmtId="0" fontId="0" fillId="5" borderId="6" xfId="0" applyFill="1" applyBorder="1"/>
    <xf numFmtId="0" fontId="0" fillId="5" borderId="9" xfId="0" applyFill="1" applyBorder="1"/>
    <xf numFmtId="0" fontId="35" fillId="5" borderId="0" xfId="0" applyFont="1" applyFill="1" applyBorder="1" applyAlignment="1">
      <alignment horizontal="center" vertical="center"/>
    </xf>
    <xf numFmtId="0" fontId="0" fillId="5" borderId="0" xfId="0" applyFill="1" applyBorder="1" applyAlignment="1">
      <alignment wrapText="1"/>
    </xf>
    <xf numFmtId="0" fontId="36" fillId="5" borderId="0" xfId="0" applyFont="1" applyFill="1" applyBorder="1"/>
    <xf numFmtId="0" fontId="37" fillId="5" borderId="0" xfId="0" applyFont="1" applyFill="1" applyBorder="1"/>
    <xf numFmtId="0" fontId="22" fillId="5" borderId="26" xfId="0" applyFont="1" applyFill="1" applyBorder="1" applyAlignment="1">
      <alignment horizontal="center" vertical="center"/>
    </xf>
    <xf numFmtId="1" fontId="22" fillId="5" borderId="19" xfId="0" applyNumberFormat="1" applyFont="1" applyFill="1" applyBorder="1" applyAlignment="1">
      <alignment horizontal="center" vertical="center"/>
    </xf>
    <xf numFmtId="1" fontId="22" fillId="5" borderId="25" xfId="0" applyNumberFormat="1" applyFont="1" applyFill="1" applyBorder="1" applyAlignment="1">
      <alignment horizontal="center" vertical="center"/>
    </xf>
    <xf numFmtId="172" fontId="14" fillId="11" borderId="1" xfId="0" applyNumberFormat="1" applyFont="1" applyFill="1" applyBorder="1" applyAlignment="1">
      <alignment horizontal="center" vertical="center"/>
    </xf>
    <xf numFmtId="183" fontId="2" fillId="11" borderId="1" xfId="1" applyNumberFormat="1" applyFont="1" applyFill="1" applyBorder="1" applyAlignment="1">
      <alignment horizontal="center" vertical="center"/>
    </xf>
    <xf numFmtId="172" fontId="8" fillId="11" borderId="1" xfId="0" applyNumberFormat="1" applyFont="1" applyFill="1" applyBorder="1" applyAlignment="1">
      <alignment horizontal="center" vertical="center"/>
    </xf>
    <xf numFmtId="0" fontId="23" fillId="5" borderId="29" xfId="0" applyFont="1" applyFill="1" applyBorder="1"/>
    <xf numFmtId="0" fontId="23" fillId="5" borderId="30" xfId="0" applyFont="1" applyFill="1" applyBorder="1"/>
    <xf numFmtId="0" fontId="23" fillId="5" borderId="31" xfId="0" applyFont="1" applyFill="1" applyBorder="1"/>
    <xf numFmtId="178" fontId="2" fillId="11" borderId="1" xfId="0" applyNumberFormat="1" applyFont="1" applyFill="1" applyBorder="1" applyAlignment="1">
      <alignment horizontal="center" vertical="center"/>
    </xf>
    <xf numFmtId="186" fontId="2" fillId="7" borderId="1" xfId="0" applyNumberFormat="1" applyFont="1" applyFill="1" applyBorder="1" applyAlignment="1">
      <alignment horizontal="center" vertical="center"/>
    </xf>
    <xf numFmtId="0" fontId="6" fillId="0" borderId="0" xfId="0" applyFont="1" applyAlignment="1">
      <alignment vertical="center"/>
    </xf>
    <xf numFmtId="0" fontId="1" fillId="0" borderId="0" xfId="0" applyFont="1" applyAlignment="1">
      <alignment vertical="center"/>
    </xf>
    <xf numFmtId="0" fontId="2" fillId="0" borderId="0" xfId="0" applyFont="1"/>
    <xf numFmtId="0" fontId="1" fillId="5" borderId="2" xfId="0" applyFont="1" applyFill="1" applyBorder="1"/>
    <xf numFmtId="0" fontId="2" fillId="5" borderId="5" xfId="0" applyFont="1" applyFill="1" applyBorder="1" applyAlignment="1">
      <alignment vertical="center"/>
    </xf>
    <xf numFmtId="0" fontId="1" fillId="5" borderId="5" xfId="0" applyFont="1" applyFill="1" applyBorder="1"/>
    <xf numFmtId="0" fontId="1" fillId="5" borderId="7" xfId="0" applyFont="1" applyFill="1" applyBorder="1"/>
    <xf numFmtId="0" fontId="3" fillId="5" borderId="0" xfId="0" applyFont="1" applyFill="1" applyAlignment="1">
      <alignment vertical="center"/>
    </xf>
    <xf numFmtId="0" fontId="3" fillId="5" borderId="8" xfId="0" applyFont="1" applyFill="1" applyBorder="1" applyAlignment="1">
      <alignment vertical="center"/>
    </xf>
    <xf numFmtId="0" fontId="1" fillId="5" borderId="4" xfId="0" applyFont="1" applyFill="1" applyBorder="1"/>
    <xf numFmtId="0" fontId="3" fillId="5" borderId="6" xfId="0" applyFont="1" applyFill="1" applyBorder="1" applyAlignment="1">
      <alignment horizontal="left" vertical="center"/>
    </xf>
    <xf numFmtId="0" fontId="3" fillId="5" borderId="9" xfId="0" applyFont="1" applyFill="1" applyBorder="1" applyAlignment="1">
      <alignment horizontal="left" vertical="center"/>
    </xf>
    <xf numFmtId="0" fontId="1" fillId="5" borderId="0" xfId="0" applyFont="1" applyFill="1"/>
    <xf numFmtId="0" fontId="1" fillId="5" borderId="6" xfId="0" applyFont="1" applyFill="1" applyBorder="1"/>
    <xf numFmtId="0" fontId="1" fillId="5" borderId="9" xfId="0" applyFont="1" applyFill="1" applyBorder="1"/>
    <xf numFmtId="0" fontId="6" fillId="5" borderId="3" xfId="0" applyFont="1" applyFill="1" applyBorder="1" applyAlignment="1">
      <alignment vertical="center"/>
    </xf>
    <xf numFmtId="0" fontId="1" fillId="5" borderId="3" xfId="0" applyFont="1" applyFill="1" applyBorder="1" applyAlignment="1">
      <alignment vertical="center"/>
    </xf>
    <xf numFmtId="0" fontId="6" fillId="0" borderId="0" xfId="0" applyFont="1" applyAlignment="1">
      <alignment horizontal="center" vertical="center"/>
    </xf>
    <xf numFmtId="0" fontId="38" fillId="5" borderId="3" xfId="0" applyFont="1" applyFill="1" applyBorder="1" applyAlignment="1">
      <alignment horizontal="center" vertical="center"/>
    </xf>
    <xf numFmtId="0" fontId="2" fillId="13"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1" fillId="13" borderId="32" xfId="0" applyFont="1" applyFill="1" applyBorder="1" applyAlignment="1">
      <alignment horizontal="center" vertical="center"/>
    </xf>
    <xf numFmtId="0" fontId="39" fillId="0" borderId="0" xfId="0" applyFont="1"/>
    <xf numFmtId="0" fontId="2" fillId="13" borderId="13" xfId="0" applyFont="1" applyFill="1" applyBorder="1" applyAlignment="1">
      <alignment vertical="center" wrapText="1"/>
    </xf>
    <xf numFmtId="0" fontId="1" fillId="0" borderId="0" xfId="0" applyFont="1" applyAlignment="1">
      <alignment horizontal="center"/>
    </xf>
    <xf numFmtId="0" fontId="23" fillId="5" borderId="4" xfId="0" applyFont="1" applyFill="1" applyBorder="1"/>
    <xf numFmtId="0" fontId="23" fillId="5" borderId="9" xfId="0" applyFont="1" applyFill="1" applyBorder="1"/>
    <xf numFmtId="185" fontId="2" fillId="13" borderId="10" xfId="0" applyNumberFormat="1" applyFont="1" applyFill="1" applyBorder="1" applyAlignment="1">
      <alignment horizontal="center" vertical="center"/>
    </xf>
    <xf numFmtId="0" fontId="2" fillId="13" borderId="32" xfId="0" applyFont="1" applyFill="1" applyBorder="1" applyAlignment="1">
      <alignment horizontal="center" vertical="center"/>
    </xf>
    <xf numFmtId="0" fontId="0" fillId="0" borderId="0" xfId="0" applyAlignment="1">
      <alignment horizontal="center" vertical="center"/>
    </xf>
    <xf numFmtId="0" fontId="6" fillId="13" borderId="1" xfId="0" applyFont="1" applyFill="1" applyBorder="1" applyAlignment="1">
      <alignment horizontal="center" vertical="center" wrapText="1"/>
    </xf>
    <xf numFmtId="0" fontId="6" fillId="13" borderId="1" xfId="0" applyFont="1" applyFill="1" applyBorder="1" applyAlignment="1">
      <alignment horizontal="center" vertical="center"/>
    </xf>
    <xf numFmtId="0" fontId="30" fillId="12" borderId="1" xfId="0" applyFont="1" applyFill="1" applyBorder="1" applyAlignment="1">
      <alignment horizontal="center" vertical="center" wrapText="1"/>
    </xf>
    <xf numFmtId="0" fontId="23" fillId="13" borderId="1" xfId="0" applyFont="1" applyFill="1" applyBorder="1" applyAlignment="1">
      <alignment horizontal="center" vertical="center"/>
    </xf>
    <xf numFmtId="0" fontId="30" fillId="13" borderId="28" xfId="0" applyFont="1" applyFill="1" applyBorder="1" applyAlignment="1">
      <alignment horizontal="center" vertical="center"/>
    </xf>
    <xf numFmtId="0" fontId="30" fillId="13"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5" borderId="20" xfId="0" applyFont="1" applyFill="1" applyBorder="1"/>
    <xf numFmtId="0" fontId="1" fillId="5" borderId="20" xfId="0" applyFont="1" applyFill="1" applyBorder="1" applyAlignment="1">
      <alignment horizontal="center"/>
    </xf>
    <xf numFmtId="0" fontId="1" fillId="5" borderId="33" xfId="0" applyFont="1" applyFill="1" applyBorder="1"/>
    <xf numFmtId="0" fontId="1" fillId="5" borderId="34" xfId="0" applyFont="1" applyFill="1" applyBorder="1" applyAlignment="1">
      <alignment horizontal="center"/>
    </xf>
    <xf numFmtId="0" fontId="1" fillId="5" borderId="35" xfId="0" applyFont="1" applyFill="1" applyBorder="1"/>
    <xf numFmtId="0" fontId="1" fillId="5" borderId="24" xfId="0" applyFont="1" applyFill="1" applyBorder="1"/>
    <xf numFmtId="0" fontId="1" fillId="5" borderId="36" xfId="0" applyFont="1" applyFill="1" applyBorder="1"/>
    <xf numFmtId="0" fontId="1" fillId="5" borderId="25" xfId="0" applyFont="1" applyFill="1" applyBorder="1"/>
    <xf numFmtId="0" fontId="1" fillId="5" borderId="21" xfId="0" applyFont="1" applyFill="1" applyBorder="1" applyAlignment="1">
      <alignment horizontal="center"/>
    </xf>
    <xf numFmtId="0" fontId="1" fillId="5" borderId="37" xfId="0" applyFont="1" applyFill="1" applyBorder="1"/>
    <xf numFmtId="0" fontId="41" fillId="13" borderId="28" xfId="0" applyFont="1" applyFill="1" applyBorder="1" applyAlignment="1">
      <alignment horizontal="center" vertical="center"/>
    </xf>
    <xf numFmtId="0" fontId="41" fillId="13" borderId="1" xfId="0" applyFont="1" applyFill="1" applyBorder="1" applyAlignment="1">
      <alignment horizontal="center" vertical="center"/>
    </xf>
    <xf numFmtId="0" fontId="1" fillId="5" borderId="0" xfId="0" applyFont="1" applyFill="1" applyBorder="1"/>
    <xf numFmtId="0" fontId="3" fillId="5" borderId="0" xfId="0" applyFont="1" applyFill="1" applyBorder="1" applyAlignment="1">
      <alignment vertical="center"/>
    </xf>
    <xf numFmtId="0" fontId="23" fillId="0" borderId="0" xfId="0" applyFont="1" applyAlignment="1">
      <alignment horizontal="center"/>
    </xf>
    <xf numFmtId="0" fontId="1" fillId="5" borderId="24" xfId="0" applyFont="1" applyFill="1" applyBorder="1" applyAlignment="1">
      <alignment horizontal="left"/>
    </xf>
    <xf numFmtId="0" fontId="1" fillId="5" borderId="25" xfId="0" applyFont="1" applyFill="1" applyBorder="1" applyAlignment="1">
      <alignment horizontal="left"/>
    </xf>
    <xf numFmtId="0" fontId="1" fillId="5" borderId="36" xfId="0" applyFont="1" applyFill="1" applyBorder="1" applyAlignment="1">
      <alignment horizontal="center"/>
    </xf>
    <xf numFmtId="0" fontId="1" fillId="5" borderId="21" xfId="0" applyFont="1" applyFill="1" applyBorder="1"/>
    <xf numFmtId="0" fontId="1" fillId="5" borderId="37" xfId="0" applyFont="1" applyFill="1" applyBorder="1" applyAlignment="1">
      <alignment horizontal="center"/>
    </xf>
    <xf numFmtId="0" fontId="2" fillId="13" borderId="33" xfId="0" applyFont="1" applyFill="1" applyBorder="1"/>
    <xf numFmtId="0" fontId="2" fillId="13" borderId="34" xfId="0" applyFont="1" applyFill="1" applyBorder="1"/>
    <xf numFmtId="0" fontId="2" fillId="13" borderId="35" xfId="0" applyFont="1" applyFill="1" applyBorder="1"/>
    <xf numFmtId="0" fontId="2" fillId="13" borderId="24" xfId="0" applyFont="1" applyFill="1" applyBorder="1"/>
    <xf numFmtId="0" fontId="2" fillId="13" borderId="20" xfId="0" applyFont="1" applyFill="1" applyBorder="1"/>
    <xf numFmtId="0" fontId="2" fillId="13" borderId="36" xfId="0" applyFont="1" applyFill="1" applyBorder="1"/>
    <xf numFmtId="0" fontId="23" fillId="5" borderId="2" xfId="0" applyFont="1" applyFill="1" applyBorder="1"/>
    <xf numFmtId="0" fontId="23" fillId="5" borderId="5" xfId="0" applyFont="1" applyFill="1" applyBorder="1"/>
    <xf numFmtId="0" fontId="23" fillId="5" borderId="7" xfId="0" applyFont="1" applyFill="1" applyBorder="1"/>
    <xf numFmtId="0" fontId="23" fillId="5" borderId="8" xfId="0" applyFont="1" applyFill="1" applyBorder="1" applyAlignment="1">
      <alignment wrapText="1"/>
    </xf>
    <xf numFmtId="0" fontId="42" fillId="5" borderId="0" xfId="0" applyFont="1" applyFill="1" applyBorder="1"/>
    <xf numFmtId="0" fontId="43" fillId="4" borderId="8" xfId="0" applyFont="1" applyFill="1" applyBorder="1" applyAlignment="1">
      <alignment horizontal="center" vertical="center"/>
    </xf>
    <xf numFmtId="0" fontId="25" fillId="5" borderId="0" xfId="0" applyFont="1" applyFill="1" applyBorder="1" applyAlignment="1"/>
    <xf numFmtId="188" fontId="1" fillId="14" borderId="1"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23" fillId="0" borderId="9" xfId="0" applyFont="1" applyBorder="1" applyAlignment="1">
      <alignment horizontal="center" vertical="center"/>
    </xf>
    <xf numFmtId="0" fontId="1" fillId="18" borderId="20" xfId="0" applyFont="1" applyFill="1" applyBorder="1" applyAlignment="1">
      <alignment horizontal="center" vertical="center"/>
    </xf>
    <xf numFmtId="0" fontId="1" fillId="15" borderId="20" xfId="0" applyFont="1" applyFill="1" applyBorder="1" applyAlignment="1">
      <alignment horizontal="center" vertical="center"/>
    </xf>
    <xf numFmtId="0" fontId="1" fillId="0" borderId="2" xfId="0" applyFont="1" applyBorder="1" applyAlignment="1">
      <alignment horizontal="left" wrapText="1"/>
    </xf>
    <xf numFmtId="0" fontId="1" fillId="5" borderId="38" xfId="0" applyFont="1" applyFill="1" applyBorder="1" applyAlignment="1">
      <alignment horizontal="center"/>
    </xf>
    <xf numFmtId="0" fontId="1" fillId="5" borderId="39" xfId="0" applyFont="1" applyFill="1" applyBorder="1" applyAlignment="1">
      <alignment horizontal="center"/>
    </xf>
    <xf numFmtId="0" fontId="1" fillId="5" borderId="40" xfId="0" applyFont="1" applyFill="1" applyBorder="1" applyAlignment="1">
      <alignment horizontal="center"/>
    </xf>
    <xf numFmtId="0" fontId="23" fillId="0" borderId="3" xfId="0" applyFont="1" applyBorder="1" applyAlignment="1">
      <alignment horizontal="center" vertical="center"/>
    </xf>
    <xf numFmtId="0" fontId="23" fillId="0" borderId="8" xfId="0" applyFont="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18" borderId="24" xfId="0" applyFont="1" applyFill="1" applyBorder="1" applyAlignment="1">
      <alignment horizontal="center" vertical="center"/>
    </xf>
    <xf numFmtId="0" fontId="1" fillId="15" borderId="24" xfId="0" applyFont="1" applyFill="1" applyBorder="1" applyAlignment="1">
      <alignment horizontal="center" vertical="center"/>
    </xf>
    <xf numFmtId="0" fontId="1" fillId="15" borderId="25" xfId="0" applyFont="1" applyFill="1" applyBorder="1" applyAlignment="1">
      <alignment horizontal="center" vertical="center"/>
    </xf>
    <xf numFmtId="0" fontId="1" fillId="15" borderId="21" xfId="0" applyFont="1" applyFill="1" applyBorder="1" applyAlignment="1">
      <alignment horizontal="center" vertical="center"/>
    </xf>
    <xf numFmtId="0" fontId="44" fillId="5" borderId="15" xfId="0" applyFont="1" applyFill="1" applyBorder="1" applyAlignment="1">
      <alignment horizontal="center" vertical="center"/>
    </xf>
    <xf numFmtId="0" fontId="44" fillId="5" borderId="18"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13" xfId="0" applyFont="1" applyFill="1" applyBorder="1" applyAlignment="1">
      <alignment horizontal="center" vertical="center"/>
    </xf>
    <xf numFmtId="0" fontId="44" fillId="5" borderId="19" xfId="0" applyFont="1" applyFill="1" applyBorder="1" applyAlignment="1">
      <alignment horizontal="center" vertical="center"/>
    </xf>
    <xf numFmtId="0" fontId="1" fillId="18" borderId="22" xfId="0" applyFont="1" applyFill="1" applyBorder="1" applyAlignment="1">
      <alignment horizontal="center" vertical="center"/>
    </xf>
    <xf numFmtId="0" fontId="1" fillId="15" borderId="23"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6" xfId="0" applyFont="1" applyFill="1" applyBorder="1" applyAlignment="1">
      <alignment horizontal="center" vertical="center"/>
    </xf>
    <xf numFmtId="0" fontId="23" fillId="5" borderId="8" xfId="0" applyFont="1" applyFill="1" applyBorder="1" applyAlignment="1">
      <alignment horizontal="center"/>
    </xf>
    <xf numFmtId="185" fontId="22" fillId="14" borderId="1" xfId="0" applyNumberFormat="1" applyFont="1" applyFill="1" applyBorder="1" applyAlignment="1">
      <alignment horizontal="center" vertical="center"/>
    </xf>
    <xf numFmtId="0" fontId="30" fillId="13" borderId="32" xfId="0" applyFont="1" applyFill="1" applyBorder="1" applyAlignment="1">
      <alignment horizontal="center" vertical="center"/>
    </xf>
    <xf numFmtId="0" fontId="22" fillId="0" borderId="20" xfId="0" applyFont="1" applyBorder="1" applyAlignment="1">
      <alignment horizontal="center" vertical="center" wrapText="1"/>
    </xf>
    <xf numFmtId="0" fontId="6" fillId="0" borderId="41" xfId="0" applyFont="1" applyBorder="1" applyAlignment="1">
      <alignment horizontal="center" textRotation="90" wrapText="1"/>
    </xf>
    <xf numFmtId="0" fontId="6" fillId="0" borderId="42" xfId="0" applyFont="1" applyBorder="1" applyAlignment="1">
      <alignment horizontal="center" textRotation="90" wrapText="1"/>
    </xf>
    <xf numFmtId="0" fontId="6" fillId="0" borderId="43" xfId="0" applyFont="1" applyBorder="1" applyAlignment="1">
      <alignment horizontal="center" textRotation="90"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7" xfId="0" applyFont="1" applyBorder="1" applyAlignment="1">
      <alignment horizontal="center" vertical="center" wrapText="1"/>
    </xf>
    <xf numFmtId="0" fontId="6" fillId="0" borderId="0" xfId="0" applyFont="1"/>
    <xf numFmtId="0" fontId="6" fillId="0" borderId="41" xfId="0" applyFont="1" applyBorder="1" applyAlignment="1">
      <alignment horizontal="center" vertical="center"/>
    </xf>
    <xf numFmtId="0" fontId="6" fillId="0" borderId="42" xfId="0" applyFont="1" applyBorder="1" applyAlignment="1">
      <alignment horizontal="center" vertical="center"/>
    </xf>
    <xf numFmtId="187" fontId="22" fillId="0" borderId="20" xfId="0" applyNumberFormat="1" applyFont="1" applyBorder="1" applyAlignment="1">
      <alignment horizontal="center" vertical="center"/>
    </xf>
    <xf numFmtId="187" fontId="22" fillId="0" borderId="44" xfId="0" applyNumberFormat="1" applyFont="1" applyBorder="1" applyAlignment="1">
      <alignment horizontal="center" vertical="center"/>
    </xf>
    <xf numFmtId="187" fontId="22" fillId="0" borderId="21" xfId="0" applyNumberFormat="1" applyFont="1" applyBorder="1" applyAlignment="1">
      <alignment horizontal="center" vertical="center"/>
    </xf>
    <xf numFmtId="187" fontId="22" fillId="0" borderId="18" xfId="0" applyNumberFormat="1" applyFont="1" applyBorder="1" applyAlignment="1">
      <alignment horizontal="center" vertical="center"/>
    </xf>
    <xf numFmtId="0" fontId="6" fillId="0" borderId="45" xfId="0" applyFont="1" applyBorder="1" applyAlignment="1">
      <alignment horizontal="center" vertical="center"/>
    </xf>
    <xf numFmtId="187" fontId="22" fillId="0" borderId="19" xfId="0" applyNumberFormat="1" applyFont="1" applyBorder="1" applyAlignment="1">
      <alignment horizontal="center" vertical="center"/>
    </xf>
    <xf numFmtId="187" fontId="22" fillId="0" borderId="22" xfId="0" applyNumberFormat="1" applyFont="1" applyBorder="1" applyAlignment="1">
      <alignment horizontal="center" vertical="center"/>
    </xf>
    <xf numFmtId="187" fontId="22" fillId="0" borderId="23" xfId="0" applyNumberFormat="1" applyFont="1" applyBorder="1" applyAlignment="1">
      <alignment horizontal="center" vertical="center"/>
    </xf>
    <xf numFmtId="0" fontId="22" fillId="12" borderId="11" xfId="0" applyFont="1" applyFill="1" applyBorder="1" applyAlignment="1">
      <alignment horizontal="center" vertical="center"/>
    </xf>
    <xf numFmtId="0" fontId="6" fillId="12" borderId="1" xfId="0" applyFont="1" applyFill="1" applyBorder="1" applyAlignment="1">
      <alignment horizontal="center" vertical="center" textRotation="90" wrapText="1"/>
    </xf>
    <xf numFmtId="187" fontId="22" fillId="0" borderId="46" xfId="0" applyNumberFormat="1" applyFont="1" applyBorder="1" applyAlignment="1">
      <alignment horizontal="center" vertical="center"/>
    </xf>
    <xf numFmtId="187" fontId="22" fillId="0" borderId="47" xfId="0" applyNumberFormat="1" applyFont="1" applyBorder="1" applyAlignment="1">
      <alignment horizontal="center" vertical="center"/>
    </xf>
    <xf numFmtId="0" fontId="6" fillId="0" borderId="48" xfId="0" applyFont="1" applyBorder="1" applyAlignment="1">
      <alignment horizontal="center" textRotation="90" wrapText="1"/>
    </xf>
    <xf numFmtId="0" fontId="6" fillId="0" borderId="49" xfId="0" applyFont="1" applyBorder="1" applyAlignment="1">
      <alignment horizontal="center" textRotation="90" wrapText="1"/>
    </xf>
    <xf numFmtId="0" fontId="6" fillId="0" borderId="50" xfId="0" applyFont="1" applyBorder="1" applyAlignment="1">
      <alignment horizontal="center" textRotation="90" wrapText="1"/>
    </xf>
    <xf numFmtId="0" fontId="22" fillId="0" borderId="20" xfId="0" applyFont="1" applyBorder="1" applyAlignment="1">
      <alignment horizontal="center" vertical="center"/>
    </xf>
    <xf numFmtId="2" fontId="22" fillId="0" borderId="20"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2" fontId="22" fillId="0" borderId="34" xfId="0" applyNumberFormat="1" applyFont="1" applyBorder="1" applyAlignment="1">
      <alignment horizontal="center" vertical="center"/>
    </xf>
    <xf numFmtId="0" fontId="22" fillId="0" borderId="35" xfId="0" applyFont="1" applyBorder="1" applyAlignment="1">
      <alignment horizontal="center" vertical="center"/>
    </xf>
    <xf numFmtId="0" fontId="22" fillId="0" borderId="24" xfId="0" applyFont="1" applyBorder="1" applyAlignment="1">
      <alignment horizontal="center" vertical="center"/>
    </xf>
    <xf numFmtId="0" fontId="22" fillId="0" borderId="36"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2" fontId="22" fillId="0" borderId="21" xfId="0" applyNumberFormat="1" applyFont="1" applyBorder="1" applyAlignment="1">
      <alignment horizontal="center" vertical="center"/>
    </xf>
    <xf numFmtId="0" fontId="22" fillId="0" borderId="37" xfId="0" applyFont="1" applyBorder="1" applyAlignment="1">
      <alignment horizontal="center" vertical="center"/>
    </xf>
    <xf numFmtId="184" fontId="6" fillId="12" borderId="1" xfId="0" applyNumberFormat="1" applyFont="1" applyFill="1" applyBorder="1" applyAlignment="1">
      <alignment horizontal="center" vertical="center"/>
    </xf>
    <xf numFmtId="184" fontId="2" fillId="13" borderId="1" xfId="0" applyNumberFormat="1" applyFont="1" applyFill="1" applyBorder="1" applyAlignment="1">
      <alignment horizontal="center" vertical="center"/>
    </xf>
    <xf numFmtId="184" fontId="5" fillId="12" borderId="1" xfId="0" applyNumberFormat="1" applyFont="1" applyFill="1" applyBorder="1" applyAlignment="1">
      <alignment horizontal="center" vertical="center"/>
    </xf>
    <xf numFmtId="0" fontId="23" fillId="0" borderId="38" xfId="0" applyFont="1" applyBorder="1" applyAlignment="1">
      <alignment horizontal="left" vertical="center"/>
    </xf>
    <xf numFmtId="0" fontId="23" fillId="0" borderId="51" xfId="0" applyFont="1" applyBorder="1"/>
    <xf numFmtId="0" fontId="23" fillId="0" borderId="39" xfId="0" applyFont="1" applyBorder="1" applyAlignment="1">
      <alignment horizontal="left" vertical="center"/>
    </xf>
    <xf numFmtId="0" fontId="23" fillId="0" borderId="52" xfId="0" applyFont="1" applyBorder="1"/>
    <xf numFmtId="0" fontId="0" fillId="0" borderId="52" xfId="0" applyBorder="1"/>
    <xf numFmtId="0" fontId="23" fillId="0" borderId="40" xfId="0" applyFont="1" applyBorder="1" applyAlignment="1">
      <alignment horizontal="left" vertical="center"/>
    </xf>
    <xf numFmtId="0" fontId="23" fillId="0" borderId="53" xfId="0" applyFont="1" applyBorder="1"/>
    <xf numFmtId="187" fontId="23" fillId="0" borderId="54" xfId="0" applyNumberFormat="1" applyFont="1" applyBorder="1"/>
    <xf numFmtId="187" fontId="23" fillId="0" borderId="55" xfId="0" applyNumberFormat="1" applyFont="1" applyBorder="1"/>
    <xf numFmtId="187" fontId="0" fillId="0" borderId="55" xfId="0" applyNumberFormat="1" applyBorder="1"/>
    <xf numFmtId="187" fontId="23" fillId="0" borderId="56" xfId="0" applyNumberFormat="1" applyFont="1" applyBorder="1"/>
    <xf numFmtId="0" fontId="1" fillId="0" borderId="0" xfId="0" applyFont="1" applyFill="1" applyBorder="1"/>
    <xf numFmtId="0" fontId="1" fillId="0" borderId="0" xfId="0" applyFont="1" applyFill="1" applyBorder="1" applyAlignment="1">
      <alignment horizontal="left"/>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xf numFmtId="0" fontId="1" fillId="0" borderId="8" xfId="0" applyFont="1" applyFill="1" applyBorder="1" applyAlignment="1">
      <alignment horizontal="left" vertical="center"/>
    </xf>
    <xf numFmtId="0" fontId="1" fillId="0" borderId="4" xfId="0" applyFont="1" applyFill="1" applyBorder="1"/>
    <xf numFmtId="0" fontId="1" fillId="0" borderId="6" xfId="0" applyFont="1" applyFill="1" applyBorder="1"/>
    <xf numFmtId="0" fontId="1" fillId="0" borderId="6" xfId="0" applyFont="1" applyFill="1" applyBorder="1" applyAlignment="1">
      <alignment horizontal="left"/>
    </xf>
    <xf numFmtId="0" fontId="1" fillId="0" borderId="9" xfId="0" applyFont="1" applyFill="1" applyBorder="1" applyAlignment="1">
      <alignment horizontal="left" vertical="center"/>
    </xf>
    <xf numFmtId="0" fontId="26" fillId="0" borderId="2" xfId="0" applyFont="1" applyFill="1" applyBorder="1" applyAlignment="1">
      <alignment horizontal="left" vertical="center"/>
    </xf>
    <xf numFmtId="0" fontId="23" fillId="5" borderId="13" xfId="0" applyFont="1" applyFill="1" applyBorder="1"/>
    <xf numFmtId="0" fontId="23" fillId="5" borderId="14" xfId="0" applyFont="1" applyFill="1" applyBorder="1"/>
    <xf numFmtId="0" fontId="6" fillId="13" borderId="1" xfId="0" applyFont="1" applyFill="1" applyBorder="1" applyAlignment="1">
      <alignment horizontal="center" vertical="center" textRotation="90" wrapText="1"/>
    </xf>
    <xf numFmtId="0" fontId="6" fillId="13" borderId="1" xfId="0" applyFont="1" applyFill="1" applyBorder="1" applyAlignment="1">
      <alignment horizontal="center" textRotation="90" wrapText="1"/>
    </xf>
    <xf numFmtId="0" fontId="23" fillId="5" borderId="10" xfId="0" applyFont="1" applyFill="1" applyBorder="1" applyAlignment="1">
      <alignment horizontal="right" vertical="center"/>
    </xf>
    <xf numFmtId="0" fontId="22" fillId="12" borderId="26" xfId="0" applyFont="1" applyFill="1" applyBorder="1" applyAlignment="1">
      <alignment horizontal="center" vertical="center"/>
    </xf>
    <xf numFmtId="0" fontId="42" fillId="5" borderId="0" xfId="0" applyFont="1" applyFill="1" applyBorder="1" applyAlignment="1">
      <alignment vertical="top"/>
    </xf>
    <xf numFmtId="0" fontId="23" fillId="5" borderId="0" xfId="0" applyFont="1" applyFill="1" applyBorder="1" applyAlignment="1">
      <alignment wrapText="1"/>
    </xf>
    <xf numFmtId="0" fontId="42" fillId="5" borderId="13" xfId="0" applyFont="1" applyFill="1" applyBorder="1" applyAlignment="1">
      <alignment vertical="top"/>
    </xf>
    <xf numFmtId="0" fontId="1" fillId="5" borderId="35" xfId="0" applyFont="1" applyFill="1" applyBorder="1" applyAlignment="1">
      <alignment horizontal="center"/>
    </xf>
    <xf numFmtId="0" fontId="2" fillId="14" borderId="1" xfId="0" applyFont="1" applyFill="1" applyBorder="1" applyAlignment="1">
      <alignment horizontal="center" vertical="center" wrapText="1"/>
    </xf>
    <xf numFmtId="0" fontId="45" fillId="4" borderId="0" xfId="0" applyFont="1" applyFill="1" applyBorder="1" applyAlignment="1">
      <alignment vertical="center"/>
    </xf>
    <xf numFmtId="0" fontId="1" fillId="5" borderId="42" xfId="0" applyFont="1" applyFill="1" applyBorder="1" applyAlignment="1">
      <alignment horizontal="center"/>
    </xf>
    <xf numFmtId="0" fontId="1" fillId="5" borderId="43" xfId="0" applyFont="1" applyFill="1" applyBorder="1" applyAlignment="1">
      <alignment horizontal="center"/>
    </xf>
    <xf numFmtId="185" fontId="1" fillId="13" borderId="1" xfId="0" applyNumberFormat="1" applyFont="1" applyFill="1" applyBorder="1" applyAlignment="1">
      <alignment horizontal="center" vertical="center"/>
    </xf>
    <xf numFmtId="0" fontId="1" fillId="13" borderId="28" xfId="0" applyFont="1" applyFill="1" applyBorder="1" applyAlignment="1">
      <alignment horizontal="center" vertical="center"/>
    </xf>
    <xf numFmtId="0" fontId="38" fillId="5" borderId="0" xfId="0" applyFont="1" applyFill="1" applyBorder="1" applyAlignment="1">
      <alignment horizontal="center" vertical="center"/>
    </xf>
    <xf numFmtId="0" fontId="1" fillId="13" borderId="32" xfId="0" applyFont="1" applyFill="1" applyBorder="1" applyAlignment="1">
      <alignment horizontal="left" vertical="center"/>
    </xf>
    <xf numFmtId="0" fontId="6" fillId="13" borderId="13" xfId="0" applyFont="1" applyFill="1" applyBorder="1" applyAlignment="1">
      <alignment vertical="center" wrapText="1"/>
    </xf>
    <xf numFmtId="0" fontId="22" fillId="13" borderId="1" xfId="0" applyFont="1" applyFill="1" applyBorder="1" applyAlignment="1">
      <alignment vertical="center"/>
    </xf>
    <xf numFmtId="0" fontId="38" fillId="5" borderId="4" xfId="0" applyFont="1" applyFill="1" applyBorder="1" applyAlignment="1">
      <alignment horizontal="center" vertical="center"/>
    </xf>
    <xf numFmtId="0" fontId="6" fillId="13" borderId="1" xfId="0" applyFont="1" applyFill="1" applyBorder="1" applyAlignment="1">
      <alignment vertical="center" wrapText="1"/>
    </xf>
    <xf numFmtId="0" fontId="42" fillId="14" borderId="1" xfId="0" applyFont="1" applyFill="1" applyBorder="1" applyAlignment="1">
      <alignment horizontal="center" vertical="center"/>
    </xf>
    <xf numFmtId="0" fontId="2" fillId="14" borderId="1" xfId="0" applyFont="1" applyFill="1" applyBorder="1" applyAlignment="1">
      <alignment horizontal="center" vertical="center"/>
    </xf>
    <xf numFmtId="0" fontId="23" fillId="5" borderId="0" xfId="0" quotePrefix="1" applyFont="1" applyFill="1" applyBorder="1" applyAlignment="1">
      <alignment vertical="center"/>
    </xf>
    <xf numFmtId="0" fontId="23" fillId="5" borderId="0" xfId="0" applyFont="1" applyFill="1" applyBorder="1" applyAlignment="1">
      <alignment horizontal="left"/>
    </xf>
    <xf numFmtId="0" fontId="3" fillId="4" borderId="0" xfId="0" applyFont="1" applyFill="1" applyBorder="1" applyAlignment="1">
      <alignment vertical="center"/>
    </xf>
    <xf numFmtId="9" fontId="6" fillId="14" borderId="1" xfId="1" applyFont="1" applyFill="1" applyBorder="1" applyAlignment="1">
      <alignment horizontal="center" vertical="center"/>
    </xf>
    <xf numFmtId="0" fontId="1" fillId="0" borderId="0" xfId="0" applyFont="1" applyProtection="1"/>
    <xf numFmtId="0" fontId="2" fillId="0" borderId="0" xfId="0" applyFont="1" applyAlignment="1" applyProtection="1">
      <alignment horizontal="center" vertical="center"/>
    </xf>
    <xf numFmtId="0" fontId="1" fillId="5" borderId="2" xfId="0" applyFont="1" applyFill="1" applyBorder="1" applyProtection="1"/>
    <xf numFmtId="0" fontId="1" fillId="5" borderId="7" xfId="0" applyFont="1" applyFill="1" applyBorder="1" applyProtection="1"/>
    <xf numFmtId="0" fontId="1" fillId="5" borderId="33" xfId="0" applyFont="1" applyFill="1" applyBorder="1" applyProtection="1"/>
    <xf numFmtId="172" fontId="1" fillId="5" borderId="35" xfId="0" applyNumberFormat="1" applyFont="1" applyFill="1" applyBorder="1" applyAlignment="1" applyProtection="1">
      <alignment horizontal="center"/>
    </xf>
    <xf numFmtId="0" fontId="1" fillId="5" borderId="24" xfId="0" applyFont="1" applyFill="1" applyBorder="1" applyProtection="1"/>
    <xf numFmtId="172" fontId="1" fillId="5" borderId="36" xfId="0" applyNumberFormat="1" applyFont="1" applyFill="1" applyBorder="1" applyAlignment="1" applyProtection="1">
      <alignment horizontal="center"/>
    </xf>
    <xf numFmtId="0" fontId="6" fillId="0" borderId="0" xfId="0" applyFont="1" applyAlignment="1" applyProtection="1">
      <alignment vertical="center"/>
    </xf>
    <xf numFmtId="0" fontId="23" fillId="0" borderId="0" xfId="0" applyFont="1" applyProtection="1"/>
    <xf numFmtId="0" fontId="1" fillId="5" borderId="25" xfId="0" applyFont="1" applyFill="1" applyBorder="1" applyProtection="1"/>
    <xf numFmtId="172" fontId="1" fillId="5" borderId="37" xfId="0" applyNumberFormat="1" applyFont="1" applyFill="1" applyBorder="1" applyAlignment="1" applyProtection="1">
      <alignment horizontal="center"/>
    </xf>
    <xf numFmtId="0" fontId="3" fillId="5" borderId="5" xfId="0" applyFont="1" applyFill="1" applyBorder="1" applyAlignment="1">
      <alignment horizontal="left" vertical="center"/>
    </xf>
    <xf numFmtId="0" fontId="6" fillId="5" borderId="3" xfId="0" applyFont="1" applyFill="1" applyBorder="1"/>
    <xf numFmtId="0" fontId="2" fillId="5" borderId="8" xfId="0" applyFont="1" applyFill="1" applyBorder="1" applyAlignment="1">
      <alignment horizontal="center" vertical="center"/>
    </xf>
    <xf numFmtId="0" fontId="6" fillId="13" borderId="2" xfId="0" applyFont="1" applyFill="1" applyBorder="1" applyAlignment="1">
      <alignment vertical="center" wrapText="1"/>
    </xf>
    <xf numFmtId="0" fontId="1" fillId="13" borderId="1" xfId="0" applyFont="1" applyFill="1" applyBorder="1" applyAlignment="1">
      <alignment horizontal="left" vertical="center"/>
    </xf>
    <xf numFmtId="0" fontId="42" fillId="13" borderId="13" xfId="0" applyFont="1" applyFill="1" applyBorder="1"/>
    <xf numFmtId="0" fontId="23" fillId="13" borderId="14" xfId="0" applyFont="1" applyFill="1" applyBorder="1"/>
    <xf numFmtId="0" fontId="23" fillId="13" borderId="10" xfId="0" applyFont="1" applyFill="1" applyBorder="1"/>
    <xf numFmtId="0" fontId="23" fillId="5" borderId="9" xfId="0" applyFont="1" applyFill="1" applyBorder="1" applyAlignment="1">
      <alignment horizontal="center"/>
    </xf>
    <xf numFmtId="0" fontId="23" fillId="13" borderId="2" xfId="0" applyFont="1" applyFill="1" applyBorder="1" applyAlignment="1">
      <alignment horizontal="center"/>
    </xf>
    <xf numFmtId="0" fontId="23" fillId="13" borderId="5" xfId="0" applyFont="1" applyFill="1" applyBorder="1" applyAlignment="1">
      <alignment horizontal="center"/>
    </xf>
    <xf numFmtId="0" fontId="23" fillId="13" borderId="7" xfId="0" applyFont="1" applyFill="1" applyBorder="1" applyAlignment="1">
      <alignment horizontal="center"/>
    </xf>
    <xf numFmtId="0" fontId="23" fillId="5" borderId="20" xfId="0" applyFont="1" applyFill="1" applyBorder="1" applyAlignment="1">
      <alignment horizontal="center"/>
    </xf>
    <xf numFmtId="0" fontId="22" fillId="5" borderId="33" xfId="0" applyFont="1" applyFill="1" applyBorder="1" applyAlignment="1">
      <alignment horizontal="left" vertical="center"/>
    </xf>
    <xf numFmtId="0" fontId="23" fillId="5" borderId="34" xfId="0" applyFont="1" applyFill="1" applyBorder="1" applyAlignment="1">
      <alignment horizontal="center"/>
    </xf>
    <xf numFmtId="0" fontId="46" fillId="5" borderId="24" xfId="0" applyFont="1" applyFill="1" applyBorder="1" applyAlignment="1">
      <alignment horizontal="left" vertical="center"/>
    </xf>
    <xf numFmtId="0" fontId="46" fillId="5" borderId="25" xfId="0" applyFont="1" applyFill="1" applyBorder="1" applyAlignment="1">
      <alignment horizontal="left" vertical="center"/>
    </xf>
    <xf numFmtId="0" fontId="23" fillId="5" borderId="21" xfId="0" applyFont="1" applyFill="1" applyBorder="1" applyAlignment="1">
      <alignment horizontal="center"/>
    </xf>
    <xf numFmtId="0" fontId="23" fillId="13" borderId="2" xfId="0" applyFont="1" applyFill="1" applyBorder="1"/>
    <xf numFmtId="0" fontId="23" fillId="13" borderId="5" xfId="0" applyFont="1" applyFill="1" applyBorder="1"/>
    <xf numFmtId="0" fontId="23" fillId="13" borderId="7" xfId="0" applyFont="1" applyFill="1" applyBorder="1"/>
    <xf numFmtId="0" fontId="23" fillId="5" borderId="33" xfId="0" applyFont="1" applyFill="1" applyBorder="1"/>
    <xf numFmtId="0" fontId="23" fillId="5" borderId="24" xfId="0" applyFont="1" applyFill="1" applyBorder="1"/>
    <xf numFmtId="0" fontId="23" fillId="5" borderId="25" xfId="0" applyFont="1" applyFill="1" applyBorder="1"/>
    <xf numFmtId="0" fontId="42" fillId="13" borderId="1" xfId="0" applyFont="1" applyFill="1" applyBorder="1"/>
    <xf numFmtId="0" fontId="23" fillId="5" borderId="27" xfId="0" applyFont="1" applyFill="1" applyBorder="1"/>
    <xf numFmtId="0" fontId="23" fillId="5" borderId="26" xfId="0" applyFont="1" applyFill="1" applyBorder="1"/>
    <xf numFmtId="0" fontId="47" fillId="5" borderId="34" xfId="0" applyFont="1" applyFill="1" applyBorder="1" applyAlignment="1">
      <alignment horizontal="center" vertical="center"/>
    </xf>
    <xf numFmtId="0" fontId="47" fillId="5" borderId="35" xfId="0" applyFont="1" applyFill="1" applyBorder="1" applyAlignment="1">
      <alignment horizontal="center" vertical="center"/>
    </xf>
    <xf numFmtId="0" fontId="47" fillId="5" borderId="20" xfId="0" applyFont="1" applyFill="1" applyBorder="1" applyAlignment="1">
      <alignment horizontal="center" vertical="center"/>
    </xf>
    <xf numFmtId="0" fontId="47" fillId="5" borderId="36" xfId="0" applyFont="1" applyFill="1" applyBorder="1" applyAlignment="1">
      <alignment horizontal="center" vertical="center"/>
    </xf>
    <xf numFmtId="0" fontId="47" fillId="5" borderId="21" xfId="0" applyFont="1" applyFill="1" applyBorder="1" applyAlignment="1">
      <alignment horizontal="center" vertical="center"/>
    </xf>
    <xf numFmtId="0" fontId="47" fillId="5" borderId="37" xfId="0" applyFont="1" applyFill="1" applyBorder="1" applyAlignment="1">
      <alignment horizontal="center" vertical="center"/>
    </xf>
    <xf numFmtId="0" fontId="42" fillId="5" borderId="35" xfId="0" applyFont="1" applyFill="1" applyBorder="1" applyAlignment="1">
      <alignment horizontal="center"/>
    </xf>
    <xf numFmtId="0" fontId="42" fillId="5" borderId="36" xfId="0" applyFont="1" applyFill="1" applyBorder="1" applyAlignment="1">
      <alignment horizontal="center"/>
    </xf>
    <xf numFmtId="0" fontId="42" fillId="5" borderId="37" xfId="0" applyFont="1" applyFill="1" applyBorder="1" applyAlignment="1">
      <alignment horizontal="center"/>
    </xf>
    <xf numFmtId="0" fontId="43" fillId="5" borderId="3" xfId="0" applyFont="1" applyFill="1" applyBorder="1" applyAlignment="1">
      <alignment horizontal="center" vertical="center"/>
    </xf>
    <xf numFmtId="0" fontId="48" fillId="5" borderId="3" xfId="0" applyFont="1" applyFill="1" applyBorder="1"/>
    <xf numFmtId="0" fontId="7" fillId="5" borderId="0" xfId="0" applyFont="1" applyFill="1" applyBorder="1"/>
    <xf numFmtId="0" fontId="43" fillId="5" borderId="0" xfId="0" applyFont="1" applyFill="1" applyBorder="1"/>
    <xf numFmtId="0" fontId="38" fillId="5" borderId="3" xfId="0" applyFont="1" applyFill="1" applyBorder="1"/>
    <xf numFmtId="0" fontId="43" fillId="5" borderId="3" xfId="0" applyFont="1" applyFill="1" applyBorder="1"/>
    <xf numFmtId="0" fontId="38" fillId="5" borderId="0" xfId="0" applyFont="1" applyFill="1" applyBorder="1"/>
    <xf numFmtId="1" fontId="2" fillId="13" borderId="1" xfId="0" applyNumberFormat="1" applyFont="1" applyFill="1" applyBorder="1" applyAlignment="1">
      <alignment horizontal="center" vertical="center"/>
    </xf>
    <xf numFmtId="1" fontId="23" fillId="13" borderId="1" xfId="0" applyNumberFormat="1" applyFont="1" applyFill="1" applyBorder="1" applyAlignment="1">
      <alignment horizontal="center" vertical="center"/>
    </xf>
    <xf numFmtId="0" fontId="23" fillId="5" borderId="3" xfId="0" applyFont="1" applyFill="1" applyBorder="1" applyAlignment="1">
      <alignment horizontal="center"/>
    </xf>
    <xf numFmtId="0" fontId="23" fillId="5" borderId="4" xfId="0" applyFont="1" applyFill="1" applyBorder="1" applyAlignment="1">
      <alignment horizontal="center"/>
    </xf>
    <xf numFmtId="0" fontId="42" fillId="13" borderId="10" xfId="0" applyFont="1" applyFill="1" applyBorder="1"/>
    <xf numFmtId="1" fontId="23" fillId="0" borderId="0" xfId="0" applyNumberFormat="1" applyFont="1"/>
    <xf numFmtId="0" fontId="23" fillId="0" borderId="0" xfId="0" quotePrefix="1" applyFont="1"/>
    <xf numFmtId="0" fontId="38" fillId="5" borderId="8" xfId="0" applyFont="1" applyFill="1" applyBorder="1" applyAlignment="1">
      <alignment horizontal="center"/>
    </xf>
    <xf numFmtId="0" fontId="2" fillId="5" borderId="8" xfId="0" applyFont="1" applyFill="1" applyBorder="1"/>
    <xf numFmtId="0" fontId="2" fillId="5" borderId="3" xfId="0" applyFont="1" applyFill="1" applyBorder="1" applyAlignment="1">
      <alignment horizontal="center" vertical="center"/>
    </xf>
    <xf numFmtId="0" fontId="1" fillId="5" borderId="8" xfId="0" applyFont="1" applyFill="1" applyBorder="1" applyAlignment="1">
      <alignment vertical="center"/>
    </xf>
    <xf numFmtId="0" fontId="1" fillId="13" borderId="32" xfId="0" applyFont="1" applyFill="1" applyBorder="1" applyAlignment="1">
      <alignment vertical="center"/>
    </xf>
    <xf numFmtId="0" fontId="22" fillId="5" borderId="5" xfId="0" applyFont="1" applyFill="1" applyBorder="1"/>
    <xf numFmtId="0" fontId="22" fillId="5" borderId="0" xfId="0" applyFont="1" applyFill="1" applyBorder="1"/>
    <xf numFmtId="0" fontId="22" fillId="5" borderId="6" xfId="0" applyFont="1" applyFill="1" applyBorder="1"/>
    <xf numFmtId="0" fontId="1" fillId="13" borderId="28" xfId="0" applyFont="1" applyFill="1" applyBorder="1" applyAlignment="1">
      <alignment vertical="center"/>
    </xf>
    <xf numFmtId="1" fontId="6" fillId="13" borderId="1" xfId="0" applyNumberFormat="1" applyFont="1" applyFill="1" applyBorder="1" applyAlignment="1">
      <alignment horizontal="center" vertical="center"/>
    </xf>
    <xf numFmtId="1" fontId="6" fillId="13" borderId="1" xfId="0" applyNumberFormat="1" applyFont="1" applyFill="1" applyBorder="1" applyAlignment="1">
      <alignment horizontal="center" vertical="center" wrapText="1"/>
    </xf>
    <xf numFmtId="0" fontId="30" fillId="0" borderId="0" xfId="0" applyFont="1"/>
    <xf numFmtId="0" fontId="4" fillId="13" borderId="10" xfId="0" applyFont="1" applyFill="1" applyBorder="1" applyAlignment="1">
      <alignment horizontal="left" vertical="center"/>
    </xf>
    <xf numFmtId="0" fontId="6" fillId="5" borderId="0" xfId="0" applyFont="1" applyFill="1" applyBorder="1" applyAlignment="1">
      <alignment horizontal="center" vertical="center" wrapText="1"/>
    </xf>
    <xf numFmtId="1" fontId="6" fillId="5" borderId="0" xfId="0" applyNumberFormat="1" applyFont="1" applyFill="1" applyBorder="1" applyAlignment="1">
      <alignment horizontal="center" vertical="center"/>
    </xf>
    <xf numFmtId="1" fontId="6" fillId="5" borderId="0" xfId="0" applyNumberFormat="1" applyFont="1" applyFill="1" applyBorder="1" applyAlignment="1">
      <alignment horizontal="center" vertical="center" wrapText="1"/>
    </xf>
    <xf numFmtId="0" fontId="1" fillId="0" borderId="0" xfId="0" applyFont="1" applyFill="1"/>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vertical="center"/>
    </xf>
    <xf numFmtId="0" fontId="1" fillId="0" borderId="0" xfId="4" applyFont="1" applyAlignment="1">
      <alignment vertical="center"/>
    </xf>
    <xf numFmtId="0" fontId="2" fillId="0" borderId="0" xfId="4" applyFont="1" applyAlignment="1">
      <alignment vertical="center"/>
    </xf>
    <xf numFmtId="0" fontId="2" fillId="0" borderId="0" xfId="4" applyFont="1" applyAlignment="1">
      <alignment horizontal="center" vertical="center"/>
    </xf>
    <xf numFmtId="0" fontId="3" fillId="0" borderId="0" xfId="4" applyFont="1" applyAlignment="1">
      <alignment horizontal="left" vertical="center"/>
    </xf>
    <xf numFmtId="0" fontId="13" fillId="5" borderId="2" xfId="3" applyFont="1" applyFill="1" applyBorder="1" applyAlignment="1">
      <alignment vertical="center"/>
    </xf>
    <xf numFmtId="0" fontId="13" fillId="5" borderId="5" xfId="3" applyFont="1" applyFill="1" applyBorder="1" applyAlignment="1">
      <alignment vertical="center"/>
    </xf>
    <xf numFmtId="0" fontId="13" fillId="5" borderId="7" xfId="3" applyFont="1" applyFill="1" applyBorder="1" applyAlignment="1">
      <alignment vertical="center"/>
    </xf>
    <xf numFmtId="0" fontId="13" fillId="0" borderId="0" xfId="3" applyFont="1" applyAlignment="1">
      <alignment vertical="center"/>
    </xf>
    <xf numFmtId="0" fontId="13" fillId="5" borderId="3" xfId="3" applyFont="1" applyFill="1" applyBorder="1" applyAlignment="1">
      <alignment vertical="center"/>
    </xf>
    <xf numFmtId="0" fontId="6" fillId="5" borderId="8" xfId="3" applyFont="1" applyFill="1" applyBorder="1" applyAlignment="1">
      <alignment horizontal="center" vertical="center" wrapText="1"/>
    </xf>
    <xf numFmtId="0" fontId="6" fillId="5" borderId="32" xfId="3" applyFont="1" applyFill="1" applyBorder="1" applyAlignment="1">
      <alignment vertical="center"/>
    </xf>
    <xf numFmtId="0" fontId="13" fillId="5" borderId="4" xfId="3" applyFont="1" applyFill="1" applyBorder="1" applyAlignment="1">
      <alignment vertical="center"/>
    </xf>
    <xf numFmtId="0" fontId="6" fillId="5" borderId="6" xfId="3" applyFont="1" applyFill="1" applyBorder="1" applyAlignment="1">
      <alignment vertical="center"/>
    </xf>
    <xf numFmtId="0" fontId="13" fillId="5" borderId="6" xfId="3" applyFont="1" applyFill="1" applyBorder="1" applyAlignment="1">
      <alignment vertical="center"/>
    </xf>
    <xf numFmtId="2" fontId="18" fillId="5" borderId="6" xfId="3" applyNumberFormat="1" applyFont="1" applyFill="1" applyBorder="1" applyAlignment="1">
      <alignment horizontal="center" vertical="center"/>
    </xf>
    <xf numFmtId="2" fontId="6" fillId="5" borderId="9" xfId="3" applyNumberFormat="1" applyFont="1" applyFill="1" applyBorder="1" applyAlignment="1">
      <alignment horizontal="center" vertical="center"/>
    </xf>
    <xf numFmtId="9" fontId="13" fillId="0" borderId="0" xfId="2" applyFont="1" applyAlignment="1">
      <alignment horizontal="center" vertical="center"/>
    </xf>
    <xf numFmtId="0" fontId="13" fillId="0" borderId="0" xfId="3" applyFont="1"/>
    <xf numFmtId="0" fontId="1" fillId="0" borderId="0" xfId="3" applyFont="1"/>
    <xf numFmtId="0" fontId="1" fillId="5" borderId="2" xfId="4" applyFont="1" applyFill="1" applyBorder="1" applyAlignment="1">
      <alignment vertical="center"/>
    </xf>
    <xf numFmtId="0" fontId="1" fillId="5" borderId="5" xfId="4" applyFont="1" applyFill="1" applyBorder="1" applyAlignment="1">
      <alignment vertical="center"/>
    </xf>
    <xf numFmtId="0" fontId="2" fillId="5" borderId="5" xfId="4" applyFont="1" applyFill="1" applyBorder="1" applyAlignment="1">
      <alignment vertical="center"/>
    </xf>
    <xf numFmtId="0" fontId="2" fillId="5" borderId="7" xfId="4" applyFont="1" applyFill="1" applyBorder="1" applyAlignment="1">
      <alignment horizontal="center" vertical="center"/>
    </xf>
    <xf numFmtId="0" fontId="1" fillId="5" borderId="3" xfId="4" applyFont="1" applyFill="1" applyBorder="1" applyAlignment="1">
      <alignment vertical="center"/>
    </xf>
    <xf numFmtId="0" fontId="17" fillId="5" borderId="0" xfId="4" applyFont="1" applyFill="1" applyAlignment="1">
      <alignment vertical="center"/>
    </xf>
    <xf numFmtId="0" fontId="3" fillId="5" borderId="8" xfId="4" applyFont="1" applyFill="1" applyBorder="1" applyAlignment="1">
      <alignment vertical="center"/>
    </xf>
    <xf numFmtId="0" fontId="1" fillId="5" borderId="4" xfId="4" applyFont="1" applyFill="1" applyBorder="1" applyAlignment="1">
      <alignment vertical="center"/>
    </xf>
    <xf numFmtId="0" fontId="1" fillId="5" borderId="6" xfId="4" applyFont="1" applyFill="1" applyBorder="1" applyAlignment="1">
      <alignment vertical="center"/>
    </xf>
    <xf numFmtId="0" fontId="3" fillId="5" borderId="6" xfId="4" applyFont="1" applyFill="1" applyBorder="1" applyAlignment="1">
      <alignment horizontal="left" vertical="center"/>
    </xf>
    <xf numFmtId="0" fontId="3" fillId="5" borderId="9" xfId="4" applyFont="1" applyFill="1" applyBorder="1" applyAlignment="1">
      <alignment horizontal="left" vertical="center"/>
    </xf>
    <xf numFmtId="0" fontId="6" fillId="5" borderId="1" xfId="3" applyFont="1" applyFill="1" applyBorder="1" applyAlignment="1">
      <alignment vertical="center"/>
    </xf>
    <xf numFmtId="177" fontId="6" fillId="5" borderId="1" xfId="3" applyNumberFormat="1" applyFont="1" applyFill="1" applyBorder="1" applyAlignment="1">
      <alignment horizontal="center" vertical="center"/>
    </xf>
    <xf numFmtId="177" fontId="6" fillId="5" borderId="9" xfId="3" applyNumberFormat="1" applyFont="1" applyFill="1" applyBorder="1" applyAlignment="1">
      <alignment horizontal="center" vertical="center"/>
    </xf>
    <xf numFmtId="0" fontId="6" fillId="13" borderId="1" xfId="3" applyFont="1" applyFill="1" applyBorder="1" applyAlignment="1">
      <alignment horizontal="left" vertical="center" wrapText="1"/>
    </xf>
    <xf numFmtId="0" fontId="6" fillId="13" borderId="10" xfId="3" applyFont="1" applyFill="1" applyBorder="1" applyAlignment="1">
      <alignment horizontal="center" vertical="center" wrapText="1"/>
    </xf>
    <xf numFmtId="0" fontId="0" fillId="5" borderId="0" xfId="0" applyFont="1" applyFill="1" applyBorder="1"/>
    <xf numFmtId="0" fontId="49" fillId="5" borderId="8" xfId="0" applyFont="1" applyFill="1" applyBorder="1" applyAlignment="1">
      <alignment horizontal="center" vertical="center"/>
    </xf>
    <xf numFmtId="0" fontId="0" fillId="5" borderId="14" xfId="0" applyFill="1" applyBorder="1"/>
    <xf numFmtId="0" fontId="6" fillId="4" borderId="6" xfId="0" applyFont="1" applyFill="1" applyBorder="1" applyAlignment="1">
      <alignment horizontal="center" vertical="center" wrapText="1"/>
    </xf>
    <xf numFmtId="0" fontId="19" fillId="0" borderId="0" xfId="3" applyFont="1"/>
    <xf numFmtId="0" fontId="1" fillId="17" borderId="20" xfId="3" applyFont="1" applyFill="1" applyBorder="1" applyAlignment="1">
      <alignment horizontal="center" vertical="center"/>
    </xf>
    <xf numFmtId="0" fontId="1" fillId="15" borderId="20" xfId="3" applyFont="1" applyFill="1" applyBorder="1" applyAlignment="1">
      <alignment horizontal="center" vertical="center"/>
    </xf>
    <xf numFmtId="0" fontId="1" fillId="19" borderId="18" xfId="3" applyFont="1" applyFill="1" applyBorder="1" applyAlignment="1">
      <alignment horizontal="center" vertical="center"/>
    </xf>
    <xf numFmtId="0" fontId="1" fillId="15" borderId="18" xfId="3" applyFont="1" applyFill="1" applyBorder="1" applyAlignment="1">
      <alignment horizontal="center" vertical="center"/>
    </xf>
    <xf numFmtId="2" fontId="1" fillId="5" borderId="18" xfId="3" applyNumberFormat="1" applyFont="1" applyFill="1" applyBorder="1" applyAlignment="1">
      <alignment horizontal="center" vertical="center"/>
    </xf>
    <xf numFmtId="0" fontId="7" fillId="0" borderId="0" xfId="3" applyFont="1"/>
    <xf numFmtId="0" fontId="51" fillId="0" borderId="0" xfId="0" applyFont="1"/>
    <xf numFmtId="0" fontId="50" fillId="0" borderId="0" xfId="0" applyFont="1"/>
    <xf numFmtId="0" fontId="0" fillId="0" borderId="20" xfId="0" applyBorder="1"/>
    <xf numFmtId="0" fontId="0" fillId="0" borderId="20" xfId="0" applyBorder="1" applyAlignment="1">
      <alignment horizontal="center"/>
    </xf>
    <xf numFmtId="0" fontId="0" fillId="0" borderId="2" xfId="0" applyBorder="1" applyAlignment="1">
      <alignment horizontal="lef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9" fontId="0" fillId="0" borderId="5" xfId="0" applyNumberFormat="1" applyBorder="1" applyAlignment="1">
      <alignment horizontal="center" vertical="center"/>
    </xf>
    <xf numFmtId="9" fontId="0" fillId="0" borderId="0" xfId="0" applyNumberFormat="1" applyBorder="1" applyAlignment="1">
      <alignment horizontal="center" vertical="center"/>
    </xf>
    <xf numFmtId="9" fontId="0" fillId="0" borderId="6" xfId="0" applyNumberFormat="1" applyBorder="1" applyAlignment="1">
      <alignment horizontal="center" vertical="center"/>
    </xf>
    <xf numFmtId="0" fontId="0" fillId="5" borderId="13" xfId="0" applyFill="1" applyBorder="1" applyAlignment="1">
      <alignment horizontal="left" vertical="center"/>
    </xf>
    <xf numFmtId="0" fontId="0" fillId="5" borderId="14" xfId="0" applyFill="1" applyBorder="1" applyAlignment="1">
      <alignment horizontal="center" vertical="center"/>
    </xf>
    <xf numFmtId="0" fontId="0" fillId="5" borderId="1" xfId="0" applyFill="1" applyBorder="1" applyAlignment="1">
      <alignment horizontal="center" vertical="center"/>
    </xf>
    <xf numFmtId="0" fontId="53" fillId="0" borderId="0" xfId="0" applyFont="1"/>
    <xf numFmtId="0" fontId="23" fillId="16" borderId="14" xfId="0" applyFont="1" applyFill="1" applyBorder="1"/>
    <xf numFmtId="0" fontId="23" fillId="16" borderId="10" xfId="0" applyFont="1" applyFill="1" applyBorder="1"/>
    <xf numFmtId="0" fontId="23" fillId="12" borderId="14" xfId="0" applyFont="1" applyFill="1" applyBorder="1"/>
    <xf numFmtId="0" fontId="23" fillId="12" borderId="10" xfId="0" applyFont="1" applyFill="1" applyBorder="1"/>
    <xf numFmtId="0" fontId="23" fillId="16" borderId="13" xfId="0" applyFont="1" applyFill="1" applyBorder="1" applyAlignment="1">
      <alignment vertical="center"/>
    </xf>
    <xf numFmtId="0" fontId="23" fillId="12" borderId="13" xfId="0" applyFont="1" applyFill="1" applyBorder="1" applyAlignment="1">
      <alignment vertical="center"/>
    </xf>
    <xf numFmtId="0" fontId="54" fillId="0" borderId="0" xfId="0" applyFont="1"/>
    <xf numFmtId="0" fontId="3" fillId="0" borderId="0" xfId="0" applyFont="1" applyFill="1" applyBorder="1" applyAlignment="1">
      <alignment horizontal="left" vertical="center"/>
    </xf>
    <xf numFmtId="0" fontId="1" fillId="0" borderId="2" xfId="0" applyFont="1" applyFill="1" applyBorder="1"/>
    <xf numFmtId="0" fontId="3" fillId="0" borderId="5" xfId="0" applyFont="1" applyFill="1" applyBorder="1" applyAlignment="1">
      <alignment horizontal="left" vertical="center"/>
    </xf>
    <xf numFmtId="0" fontId="1" fillId="0" borderId="7" xfId="0" applyFont="1" applyFill="1" applyBorder="1"/>
    <xf numFmtId="0" fontId="1" fillId="0" borderId="8" xfId="0" applyFont="1" applyFill="1" applyBorder="1"/>
    <xf numFmtId="0" fontId="3" fillId="0" borderId="6" xfId="0" applyFont="1" applyFill="1" applyBorder="1" applyAlignment="1">
      <alignment horizontal="left" vertical="center"/>
    </xf>
    <xf numFmtId="0" fontId="1" fillId="0" borderId="9" xfId="0" applyFont="1" applyFill="1" applyBorder="1"/>
    <xf numFmtId="9" fontId="24" fillId="7" borderId="1" xfId="1" applyFont="1" applyFill="1" applyBorder="1" applyAlignment="1">
      <alignment horizontal="center" vertical="center"/>
    </xf>
    <xf numFmtId="0" fontId="6" fillId="4" borderId="1" xfId="0" applyFont="1" applyFill="1" applyBorder="1" applyAlignment="1">
      <alignment horizontal="center" vertical="center" wrapText="1"/>
    </xf>
    <xf numFmtId="9" fontId="1" fillId="4" borderId="11" xfId="0" applyNumberFormat="1" applyFont="1" applyFill="1" applyBorder="1" applyAlignment="1">
      <alignment horizontal="center" vertical="center"/>
    </xf>
    <xf numFmtId="9" fontId="1" fillId="4" borderId="26"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9" fontId="1" fillId="20" borderId="11" xfId="0" applyNumberFormat="1" applyFont="1" applyFill="1" applyBorder="1" applyAlignment="1">
      <alignment horizontal="center" vertical="center"/>
    </xf>
    <xf numFmtId="9" fontId="1" fillId="20" borderId="26" xfId="0" applyNumberFormat="1" applyFont="1" applyFill="1" applyBorder="1" applyAlignment="1">
      <alignment horizontal="center" vertical="center"/>
    </xf>
    <xf numFmtId="0" fontId="13" fillId="5" borderId="0" xfId="3" applyFont="1" applyFill="1" applyBorder="1" applyAlignment="1">
      <alignment vertical="center"/>
    </xf>
    <xf numFmtId="0" fontId="9" fillId="0" borderId="0" xfId="3" applyFont="1" applyAlignment="1">
      <alignment vertical="center"/>
    </xf>
    <xf numFmtId="0" fontId="6" fillId="12" borderId="1" xfId="3" applyFont="1" applyFill="1" applyBorder="1" applyAlignment="1">
      <alignment vertical="center"/>
    </xf>
    <xf numFmtId="177" fontId="6" fillId="12" borderId="9" xfId="3" applyNumberFormat="1" applyFont="1" applyFill="1" applyBorder="1" applyAlignment="1">
      <alignment horizontal="center" vertical="center"/>
    </xf>
    <xf numFmtId="0" fontId="13" fillId="0" borderId="0" xfId="3" applyFont="1" applyBorder="1" applyAlignment="1">
      <alignment vertical="center"/>
    </xf>
    <xf numFmtId="0" fontId="13" fillId="5" borderId="8" xfId="3" applyFont="1" applyFill="1" applyBorder="1" applyAlignment="1">
      <alignment vertical="center"/>
    </xf>
    <xf numFmtId="9" fontId="6" fillId="5" borderId="32" xfId="1" applyFont="1" applyFill="1" applyBorder="1" applyAlignment="1">
      <alignment horizontal="center" vertical="center"/>
    </xf>
    <xf numFmtId="9" fontId="6" fillId="5" borderId="1" xfId="1" applyFont="1" applyFill="1" applyBorder="1" applyAlignment="1">
      <alignment horizontal="center" vertical="center"/>
    </xf>
    <xf numFmtId="0" fontId="9" fillId="0" borderId="0" xfId="3" applyFont="1"/>
    <xf numFmtId="9" fontId="23" fillId="0" borderId="0" xfId="1" applyFont="1" applyAlignment="1">
      <alignment horizontal="right"/>
    </xf>
    <xf numFmtId="0" fontId="13" fillId="0" borderId="69" xfId="3" applyFont="1" applyBorder="1" applyAlignment="1">
      <alignment horizontal="center" vertical="center"/>
    </xf>
    <xf numFmtId="0" fontId="44" fillId="15" borderId="69" xfId="3" applyFont="1" applyFill="1" applyBorder="1" applyAlignment="1">
      <alignment horizontal="center" vertical="center"/>
    </xf>
    <xf numFmtId="0" fontId="44" fillId="0" borderId="69" xfId="3" applyFont="1" applyBorder="1" applyAlignment="1">
      <alignment horizontal="center" vertical="center"/>
    </xf>
    <xf numFmtId="0" fontId="60" fillId="15" borderId="69" xfId="3" applyFont="1" applyFill="1" applyBorder="1" applyAlignment="1">
      <alignment horizontal="center" vertical="center"/>
    </xf>
    <xf numFmtId="0" fontId="59" fillId="0" borderId="0" xfId="3" applyFont="1"/>
    <xf numFmtId="0" fontId="62" fillId="21" borderId="69" xfId="3" applyFont="1" applyFill="1" applyBorder="1" applyAlignment="1">
      <alignment horizontal="center" vertical="center"/>
    </xf>
    <xf numFmtId="0" fontId="23" fillId="5" borderId="3" xfId="0" applyFont="1" applyFill="1" applyBorder="1" applyAlignment="1">
      <alignment horizontal="center" vertical="center"/>
    </xf>
    <xf numFmtId="0" fontId="23" fillId="0" borderId="84" xfId="0" applyFont="1" applyBorder="1" applyAlignment="1">
      <alignment horizontal="center"/>
    </xf>
    <xf numFmtId="0" fontId="23" fillId="0" borderId="85" xfId="0" applyFont="1" applyBorder="1" applyAlignment="1">
      <alignment horizontal="center"/>
    </xf>
    <xf numFmtId="0" fontId="23" fillId="0" borderId="86" xfId="0" applyFont="1" applyBorder="1" applyAlignment="1">
      <alignment horizontal="center"/>
    </xf>
    <xf numFmtId="0" fontId="42" fillId="5" borderId="71" xfId="0" applyFont="1" applyFill="1" applyBorder="1" applyAlignment="1">
      <alignment horizontal="center"/>
    </xf>
    <xf numFmtId="0" fontId="23" fillId="5" borderId="82" xfId="0" applyFont="1" applyFill="1" applyBorder="1" applyAlignment="1">
      <alignment horizontal="center"/>
    </xf>
    <xf numFmtId="0" fontId="23" fillId="5" borderId="80" xfId="0" applyFont="1" applyFill="1" applyBorder="1" applyAlignment="1">
      <alignment horizontal="center"/>
    </xf>
    <xf numFmtId="0" fontId="23" fillId="5" borderId="81" xfId="0" applyFont="1" applyFill="1" applyBorder="1" applyAlignment="1">
      <alignment horizontal="center"/>
    </xf>
    <xf numFmtId="0" fontId="23" fillId="5" borderId="71" xfId="0" applyFont="1" applyFill="1" applyBorder="1"/>
    <xf numFmtId="0" fontId="23" fillId="0" borderId="83" xfId="0" applyFont="1" applyFill="1" applyBorder="1" applyAlignment="1">
      <alignment horizontal="center" vertical="center"/>
    </xf>
    <xf numFmtId="172" fontId="30" fillId="12" borderId="1" xfId="0" applyNumberFormat="1" applyFont="1" applyFill="1" applyBorder="1" applyAlignment="1" applyProtection="1">
      <alignment horizontal="center" vertical="center" wrapText="1"/>
      <protection locked="0"/>
    </xf>
    <xf numFmtId="0" fontId="22" fillId="4" borderId="0" xfId="0" applyFont="1" applyFill="1" applyBorder="1"/>
    <xf numFmtId="0" fontId="1" fillId="22" borderId="24" xfId="0" applyFont="1" applyFill="1" applyBorder="1"/>
    <xf numFmtId="172" fontId="1" fillId="22" borderId="55" xfId="0" applyNumberFormat="1" applyFont="1" applyFill="1" applyBorder="1" applyAlignment="1">
      <alignment horizontal="center"/>
    </xf>
    <xf numFmtId="0" fontId="1" fillId="22" borderId="57" xfId="0" applyFont="1" applyFill="1" applyBorder="1"/>
    <xf numFmtId="172" fontId="1" fillId="22" borderId="9" xfId="0" applyNumberFormat="1" applyFont="1" applyFill="1" applyBorder="1" applyAlignment="1">
      <alignment horizontal="center"/>
    </xf>
    <xf numFmtId="0" fontId="22" fillId="4" borderId="8" xfId="0" applyFont="1" applyFill="1" applyBorder="1"/>
    <xf numFmtId="0" fontId="42" fillId="5" borderId="3" xfId="0" applyFont="1" applyFill="1" applyBorder="1" applyAlignment="1">
      <alignment vertical="center"/>
    </xf>
    <xf numFmtId="0" fontId="44" fillId="5" borderId="69" xfId="3" applyFont="1" applyFill="1" applyBorder="1" applyAlignment="1">
      <alignment horizontal="center" vertical="center"/>
    </xf>
    <xf numFmtId="0" fontId="19" fillId="5" borderId="69" xfId="3" applyFont="1" applyFill="1" applyBorder="1" applyAlignment="1">
      <alignment horizontal="center" vertical="center"/>
    </xf>
    <xf numFmtId="0" fontId="13" fillId="5" borderId="69" xfId="3" applyFont="1" applyFill="1" applyBorder="1" applyAlignment="1">
      <alignment horizontal="left" vertical="center"/>
    </xf>
    <xf numFmtId="0" fontId="9" fillId="5" borderId="87" xfId="3" applyFont="1" applyFill="1" applyBorder="1"/>
    <xf numFmtId="0" fontId="10" fillId="5" borderId="88" xfId="3" applyFont="1" applyFill="1" applyBorder="1" applyAlignment="1">
      <alignment horizontal="center" vertical="center" wrapText="1"/>
    </xf>
    <xf numFmtId="0" fontId="10" fillId="5" borderId="90" xfId="3" applyFont="1" applyFill="1" applyBorder="1" applyAlignment="1">
      <alignment horizontal="center" vertical="center" wrapText="1"/>
    </xf>
    <xf numFmtId="0" fontId="10" fillId="5" borderId="91" xfId="3" applyFont="1" applyFill="1" applyBorder="1" applyAlignment="1">
      <alignment horizontal="center" vertical="center" wrapText="1"/>
    </xf>
    <xf numFmtId="0" fontId="10" fillId="5" borderId="69" xfId="3" applyFont="1" applyFill="1" applyBorder="1" applyAlignment="1">
      <alignment horizontal="center" vertical="center" wrapText="1"/>
    </xf>
    <xf numFmtId="0" fontId="2" fillId="5" borderId="69" xfId="4" applyFont="1" applyFill="1" applyBorder="1" applyAlignment="1">
      <alignment vertical="center"/>
    </xf>
    <xf numFmtId="0" fontId="13" fillId="0" borderId="92" xfId="3" applyFont="1" applyBorder="1" applyAlignment="1">
      <alignment vertical="center"/>
    </xf>
    <xf numFmtId="0" fontId="13" fillId="0" borderId="93" xfId="3" applyFont="1" applyBorder="1"/>
    <xf numFmtId="0" fontId="13" fillId="0" borderId="94" xfId="3" applyFont="1" applyBorder="1" applyAlignment="1">
      <alignment vertical="center"/>
    </xf>
    <xf numFmtId="0" fontId="13" fillId="0" borderId="95" xfId="3" applyFont="1" applyBorder="1" applyAlignment="1">
      <alignment vertical="center"/>
    </xf>
    <xf numFmtId="0" fontId="13" fillId="0" borderId="96" xfId="3" applyFont="1" applyBorder="1" applyAlignment="1">
      <alignment vertical="center"/>
    </xf>
    <xf numFmtId="0" fontId="13" fillId="0" borderId="97" xfId="3" applyFont="1" applyBorder="1" applyAlignment="1">
      <alignment vertical="center"/>
    </xf>
    <xf numFmtId="0" fontId="13" fillId="0" borderId="98" xfId="3" applyFont="1" applyBorder="1" applyAlignment="1">
      <alignment vertical="center"/>
    </xf>
    <xf numFmtId="0" fontId="13" fillId="0" borderId="99" xfId="3" applyFont="1" applyBorder="1" applyAlignment="1">
      <alignment vertical="center"/>
    </xf>
    <xf numFmtId="0" fontId="10" fillId="5" borderId="69" xfId="3" applyFont="1" applyFill="1" applyBorder="1" applyAlignment="1">
      <alignment vertical="center"/>
    </xf>
    <xf numFmtId="0" fontId="10" fillId="5" borderId="89" xfId="3" applyFont="1" applyFill="1" applyBorder="1" applyAlignment="1">
      <alignment vertical="center"/>
    </xf>
    <xf numFmtId="0" fontId="63" fillId="0" borderId="0" xfId="3" applyFont="1"/>
    <xf numFmtId="1" fontId="1" fillId="5" borderId="20" xfId="3" applyNumberFormat="1" applyFont="1" applyFill="1" applyBorder="1" applyAlignment="1">
      <alignment horizontal="center" vertical="center"/>
    </xf>
    <xf numFmtId="1" fontId="44" fillId="15" borderId="1" xfId="0" applyNumberFormat="1" applyFont="1" applyFill="1" applyBorder="1" applyAlignment="1">
      <alignment horizontal="center" vertical="center" wrapText="1"/>
    </xf>
    <xf numFmtId="0" fontId="1" fillId="0" borderId="70" xfId="0" applyFont="1" applyBorder="1" applyAlignment="1">
      <alignment horizontal="center" vertical="center"/>
    </xf>
    <xf numFmtId="0" fontId="22" fillId="0" borderId="72" xfId="0" applyFont="1" applyBorder="1" applyAlignment="1">
      <alignment horizontal="center"/>
    </xf>
    <xf numFmtId="0" fontId="22" fillId="0" borderId="73" xfId="0" applyFont="1" applyBorder="1" applyAlignment="1">
      <alignment horizontal="center"/>
    </xf>
    <xf numFmtId="0" fontId="22" fillId="0" borderId="74" xfId="0" applyFont="1" applyBorder="1"/>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 fontId="1" fillId="0" borderId="0" xfId="0" applyNumberFormat="1" applyFont="1"/>
    <xf numFmtId="2" fontId="23" fillId="0" borderId="0" xfId="5" applyNumberFormat="1" applyFont="1"/>
    <xf numFmtId="0" fontId="0" fillId="5" borderId="0" xfId="0" applyFill="1" applyBorder="1" applyAlignment="1">
      <alignment horizontal="center" vertical="center"/>
    </xf>
    <xf numFmtId="0" fontId="0" fillId="0" borderId="100" xfId="0" applyBorder="1"/>
    <xf numFmtId="0" fontId="0" fillId="0" borderId="101" xfId="0" applyBorder="1"/>
    <xf numFmtId="0" fontId="40" fillId="13" borderId="13" xfId="0" applyFont="1" applyFill="1" applyBorder="1" applyAlignment="1" applyProtection="1">
      <alignment vertical="center"/>
      <protection locked="0"/>
    </xf>
    <xf numFmtId="185" fontId="40" fillId="14" borderId="1" xfId="0" applyNumberFormat="1" applyFont="1" applyFill="1" applyBorder="1" applyAlignment="1" applyProtection="1">
      <alignment horizontal="center" vertical="center"/>
      <protection locked="0"/>
    </xf>
    <xf numFmtId="181" fontId="2" fillId="6" borderId="1" xfId="0" applyNumberFormat="1" applyFont="1" applyFill="1" applyBorder="1" applyAlignment="1" applyProtection="1">
      <alignment horizontal="center" vertical="center"/>
      <protection locked="0"/>
    </xf>
    <xf numFmtId="182" fontId="2" fillId="6" borderId="1" xfId="0" applyNumberFormat="1" applyFont="1" applyFill="1" applyBorder="1" applyAlignment="1" applyProtection="1">
      <alignment horizontal="center" vertical="center"/>
      <protection locked="0"/>
    </xf>
    <xf numFmtId="180" fontId="2" fillId="6" borderId="1" xfId="0" applyNumberFormat="1" applyFont="1" applyFill="1" applyBorder="1" applyAlignment="1" applyProtection="1">
      <alignment horizontal="center" vertical="center"/>
      <protection locked="0"/>
    </xf>
    <xf numFmtId="167" fontId="2" fillId="6"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73" fontId="2" fillId="8" borderId="1" xfId="0" applyNumberFormat="1" applyFont="1" applyFill="1" applyBorder="1" applyAlignment="1" applyProtection="1">
      <alignment horizontal="center" vertical="center"/>
    </xf>
    <xf numFmtId="182" fontId="2" fillId="6" borderId="1" xfId="0" applyNumberFormat="1" applyFont="1" applyFill="1" applyBorder="1" applyAlignment="1" applyProtection="1">
      <alignment horizontal="center" vertical="center" wrapText="1"/>
      <protection locked="0"/>
    </xf>
    <xf numFmtId="183" fontId="2" fillId="6" borderId="1" xfId="1" applyNumberFormat="1" applyFont="1" applyFill="1" applyBorder="1" applyAlignment="1" applyProtection="1">
      <alignment horizontal="center" vertical="center" wrapText="1"/>
      <protection locked="0"/>
    </xf>
    <xf numFmtId="172" fontId="6" fillId="16" borderId="1" xfId="0" applyNumberFormat="1" applyFont="1" applyFill="1" applyBorder="1" applyAlignment="1" applyProtection="1">
      <alignment horizontal="center" vertical="center" wrapText="1"/>
      <protection locked="0"/>
    </xf>
    <xf numFmtId="0" fontId="42" fillId="16" borderId="1" xfId="0" applyFont="1" applyFill="1" applyBorder="1" applyAlignment="1" applyProtection="1">
      <alignment horizontal="center" vertical="center" wrapText="1"/>
      <protection locked="0"/>
    </xf>
    <xf numFmtId="0" fontId="1" fillId="13" borderId="71" xfId="0" applyFont="1" applyFill="1" applyBorder="1" applyAlignment="1">
      <alignment horizontal="center" vertical="center"/>
    </xf>
    <xf numFmtId="0" fontId="30" fillId="12" borderId="13" xfId="0" applyFont="1" applyFill="1" applyBorder="1" applyAlignment="1">
      <alignment horizontal="center" vertical="center" wrapText="1"/>
    </xf>
    <xf numFmtId="0" fontId="41" fillId="13" borderId="71" xfId="0" applyFont="1" applyFill="1" applyBorder="1" applyAlignment="1">
      <alignment horizontal="center" vertical="center"/>
    </xf>
    <xf numFmtId="0" fontId="40" fillId="13" borderId="13" xfId="0" applyFont="1" applyFill="1" applyBorder="1" applyAlignment="1" applyProtection="1">
      <alignment horizontal="left" vertical="center"/>
      <protection locked="0"/>
    </xf>
    <xf numFmtId="185" fontId="1" fillId="6" borderId="1" xfId="0" applyNumberFormat="1" applyFont="1" applyFill="1" applyBorder="1" applyAlignment="1" applyProtection="1">
      <alignment horizontal="center" vertical="center" wrapText="1"/>
      <protection locked="0"/>
    </xf>
    <xf numFmtId="0" fontId="40" fillId="13" borderId="71" xfId="0" applyFont="1" applyFill="1" applyBorder="1" applyAlignment="1">
      <alignment horizontal="center" vertical="center"/>
    </xf>
    <xf numFmtId="0" fontId="30" fillId="16" borderId="1" xfId="0" applyFont="1" applyFill="1" applyBorder="1" applyAlignment="1" applyProtection="1">
      <alignment horizontal="center" vertical="center" wrapText="1"/>
      <protection locked="0"/>
    </xf>
    <xf numFmtId="185" fontId="1" fillId="6" borderId="1" xfId="0" applyNumberFormat="1" applyFont="1" applyFill="1" applyBorder="1" applyAlignment="1" applyProtection="1">
      <alignment horizontal="left" vertical="center" wrapText="1"/>
      <protection locked="0"/>
    </xf>
    <xf numFmtId="188" fontId="1" fillId="6" borderId="1" xfId="0" applyNumberFormat="1" applyFont="1" applyFill="1" applyBorder="1" applyAlignment="1" applyProtection="1">
      <alignment horizontal="center" vertical="center" wrapText="1"/>
      <protection locked="0"/>
    </xf>
    <xf numFmtId="0" fontId="40" fillId="13" borderId="1" xfId="0" applyFont="1" applyFill="1" applyBorder="1" applyAlignment="1" applyProtection="1">
      <alignment vertical="center" wrapText="1"/>
      <protection locked="0"/>
    </xf>
    <xf numFmtId="0" fontId="40" fillId="13" borderId="1" xfId="0" applyFont="1" applyFill="1" applyBorder="1" applyAlignment="1" applyProtection="1">
      <alignment horizontal="left" vertical="center" wrapText="1"/>
      <protection locked="0"/>
    </xf>
    <xf numFmtId="0" fontId="40" fillId="13" borderId="1" xfId="0" applyFont="1" applyFill="1" applyBorder="1" applyAlignment="1" applyProtection="1">
      <alignment horizontal="center" vertical="center" wrapText="1"/>
      <protection locked="0"/>
    </xf>
    <xf numFmtId="185" fontId="2" fillId="6" borderId="1" xfId="0" applyNumberFormat="1" applyFont="1" applyFill="1" applyBorder="1" applyAlignment="1" applyProtection="1">
      <alignment horizontal="center" vertical="center" wrapText="1"/>
      <protection locked="0"/>
    </xf>
    <xf numFmtId="0" fontId="44" fillId="0" borderId="102" xfId="3" applyFont="1" applyBorder="1" applyAlignment="1">
      <alignment horizontal="center" vertical="center"/>
    </xf>
    <xf numFmtId="0" fontId="61" fillId="0" borderId="102" xfId="4" applyFont="1" applyBorder="1" applyAlignment="1">
      <alignment horizontal="center" vertical="center"/>
    </xf>
    <xf numFmtId="0" fontId="19" fillId="0" borderId="102" xfId="3" applyFont="1" applyBorder="1" applyAlignment="1">
      <alignment horizontal="center" vertical="center"/>
    </xf>
    <xf numFmtId="0" fontId="13" fillId="0" borderId="102" xfId="3" applyFont="1" applyBorder="1" applyAlignment="1">
      <alignment horizontal="center" vertical="center"/>
    </xf>
    <xf numFmtId="0" fontId="2" fillId="5" borderId="48" xfId="3" applyFont="1" applyFill="1" applyBorder="1" applyAlignment="1">
      <alignment horizontal="center" vertical="center"/>
    </xf>
    <xf numFmtId="0" fontId="2" fillId="17" borderId="49" xfId="3" applyFont="1" applyFill="1" applyBorder="1" applyAlignment="1">
      <alignment horizontal="center" vertical="center"/>
    </xf>
    <xf numFmtId="0" fontId="2" fillId="19" borderId="49" xfId="3" applyFont="1" applyFill="1" applyBorder="1" applyAlignment="1">
      <alignment horizontal="center" vertical="center"/>
    </xf>
    <xf numFmtId="0" fontId="2" fillId="15" borderId="49" xfId="3" applyFont="1" applyFill="1" applyBorder="1" applyAlignment="1">
      <alignment horizontal="center" vertical="center"/>
    </xf>
    <xf numFmtId="0" fontId="2" fillId="5" borderId="49" xfId="3" applyFont="1" applyFill="1" applyBorder="1" applyAlignment="1">
      <alignment horizontal="center" vertical="center"/>
    </xf>
    <xf numFmtId="0" fontId="2" fillId="5" borderId="50" xfId="3" applyFont="1" applyFill="1" applyBorder="1" applyAlignment="1">
      <alignment horizontal="center" vertical="center"/>
    </xf>
    <xf numFmtId="0" fontId="2" fillId="13" borderId="103" xfId="3" applyFont="1" applyFill="1" applyBorder="1" applyAlignment="1">
      <alignment vertical="center"/>
    </xf>
    <xf numFmtId="2" fontId="1" fillId="5" borderId="104" xfId="3" applyNumberFormat="1" applyFont="1" applyFill="1" applyBorder="1" applyAlignment="1">
      <alignment horizontal="center" vertical="center"/>
    </xf>
    <xf numFmtId="0" fontId="1" fillId="17" borderId="104" xfId="3" applyFont="1" applyFill="1" applyBorder="1" applyAlignment="1">
      <alignment horizontal="center" vertical="center"/>
    </xf>
    <xf numFmtId="0" fontId="1" fillId="19" borderId="104" xfId="3" applyFont="1" applyFill="1" applyBorder="1" applyAlignment="1">
      <alignment horizontal="center" vertical="center"/>
    </xf>
    <xf numFmtId="0" fontId="1" fillId="15" borderId="104" xfId="3" applyFont="1" applyFill="1" applyBorder="1" applyAlignment="1">
      <alignment horizontal="center" vertical="center"/>
    </xf>
    <xf numFmtId="1" fontId="1" fillId="5" borderId="104" xfId="3" applyNumberFormat="1" applyFont="1" applyFill="1" applyBorder="1" applyAlignment="1">
      <alignment horizontal="center" vertical="center"/>
    </xf>
    <xf numFmtId="1" fontId="1" fillId="5" borderId="105" xfId="3" applyNumberFormat="1" applyFont="1" applyFill="1" applyBorder="1" applyAlignment="1">
      <alignment horizontal="center" vertical="center"/>
    </xf>
    <xf numFmtId="0" fontId="2" fillId="13" borderId="106" xfId="3" applyFont="1" applyFill="1" applyBorder="1" applyAlignment="1">
      <alignment vertical="center"/>
    </xf>
    <xf numFmtId="1" fontId="1" fillId="5" borderId="107" xfId="3" applyNumberFormat="1" applyFont="1" applyFill="1" applyBorder="1" applyAlignment="1">
      <alignment horizontal="center" vertical="center"/>
    </xf>
    <xf numFmtId="0" fontId="2" fillId="13" borderId="108" xfId="3" applyFont="1" applyFill="1" applyBorder="1" applyAlignment="1">
      <alignment vertical="center"/>
    </xf>
    <xf numFmtId="2" fontId="1" fillId="5" borderId="109" xfId="3" applyNumberFormat="1" applyFont="1" applyFill="1" applyBorder="1" applyAlignment="1">
      <alignment horizontal="center" vertical="center"/>
    </xf>
    <xf numFmtId="0" fontId="1" fillId="17" borderId="110" xfId="3" applyFont="1" applyFill="1" applyBorder="1" applyAlignment="1">
      <alignment horizontal="center" vertical="center"/>
    </xf>
    <xf numFmtId="0" fontId="1" fillId="19" borderId="110" xfId="3" applyFont="1" applyFill="1" applyBorder="1" applyAlignment="1">
      <alignment horizontal="center" vertical="center"/>
    </xf>
    <xf numFmtId="0" fontId="1" fillId="15" borderId="110" xfId="3" applyFont="1" applyFill="1" applyBorder="1" applyAlignment="1">
      <alignment horizontal="center" vertical="center"/>
    </xf>
    <xf numFmtId="1" fontId="1" fillId="5" borderId="110" xfId="3" applyNumberFormat="1" applyFont="1" applyFill="1" applyBorder="1" applyAlignment="1">
      <alignment horizontal="center" vertical="center"/>
    </xf>
    <xf numFmtId="1" fontId="1" fillId="5" borderId="111" xfId="3" applyNumberFormat="1" applyFont="1" applyFill="1" applyBorder="1" applyAlignment="1">
      <alignment horizontal="center" vertical="center"/>
    </xf>
    <xf numFmtId="0" fontId="44" fillId="15" borderId="1" xfId="0" applyNumberFormat="1" applyFont="1" applyFill="1" applyBorder="1" applyAlignment="1">
      <alignment horizontal="center" vertical="center" wrapText="1"/>
    </xf>
    <xf numFmtId="172" fontId="23" fillId="0" borderId="0" xfId="0" applyNumberFormat="1" applyFont="1" applyProtection="1"/>
    <xf numFmtId="0" fontId="64" fillId="0" borderId="0" xfId="3" applyFont="1" applyAlignment="1">
      <alignment vertical="center"/>
    </xf>
    <xf numFmtId="1" fontId="43" fillId="5" borderId="8" xfId="3" applyNumberFormat="1" applyFont="1" applyFill="1" applyBorder="1" applyAlignment="1">
      <alignment horizontal="center" vertical="center"/>
    </xf>
    <xf numFmtId="0" fontId="38" fillId="5" borderId="8" xfId="0" applyFont="1" applyFill="1" applyBorder="1"/>
    <xf numFmtId="0" fontId="38" fillId="5" borderId="8" xfId="0" applyFont="1" applyFill="1" applyBorder="1" applyAlignment="1">
      <alignment horizontal="center" vertical="center"/>
    </xf>
    <xf numFmtId="0" fontId="38" fillId="5" borderId="0" xfId="0" applyFont="1" applyFill="1" applyBorder="1" applyAlignment="1">
      <alignment horizontal="center"/>
    </xf>
    <xf numFmtId="0" fontId="38" fillId="4" borderId="8" xfId="0" applyFont="1" applyFill="1" applyBorder="1" applyAlignment="1">
      <alignment horizontal="center"/>
    </xf>
    <xf numFmtId="0" fontId="38" fillId="4" borderId="8" xfId="0" applyFont="1" applyFill="1" applyBorder="1" applyAlignment="1">
      <alignment horizontal="center" vertical="center"/>
    </xf>
    <xf numFmtId="0" fontId="6" fillId="6" borderId="1" xfId="0" applyFont="1" applyFill="1" applyBorder="1" applyAlignment="1">
      <alignment horizontal="center" vertical="center" wrapText="1"/>
    </xf>
    <xf numFmtId="0" fontId="13" fillId="0" borderId="70" xfId="3" applyFont="1" applyBorder="1" applyAlignment="1">
      <alignment horizontal="center" vertical="center"/>
    </xf>
    <xf numFmtId="0" fontId="65" fillId="0" borderId="0" xfId="0" applyFont="1"/>
    <xf numFmtId="0" fontId="38" fillId="5" borderId="30" xfId="0" applyFont="1" applyFill="1" applyBorder="1"/>
    <xf numFmtId="0" fontId="38" fillId="4" borderId="0" xfId="0" applyFont="1" applyFill="1" applyBorder="1"/>
    <xf numFmtId="0" fontId="43" fillId="4" borderId="0" xfId="0" applyFont="1" applyFill="1" applyBorder="1"/>
    <xf numFmtId="9" fontId="1" fillId="4" borderId="8" xfId="0" applyNumberFormat="1" applyFont="1" applyFill="1" applyBorder="1" applyAlignment="1">
      <alignment horizontal="center" vertical="center"/>
    </xf>
    <xf numFmtId="9" fontId="23" fillId="0" borderId="0" xfId="0" applyNumberFormat="1" applyFont="1"/>
    <xf numFmtId="9" fontId="24" fillId="7" borderId="71" xfId="1" applyFont="1" applyFill="1" applyBorder="1" applyAlignment="1">
      <alignment horizontal="center" vertical="center"/>
    </xf>
    <xf numFmtId="0" fontId="42" fillId="0" borderId="0" xfId="0" applyFont="1"/>
    <xf numFmtId="0" fontId="2" fillId="13" borderId="112" xfId="0" applyFont="1" applyFill="1" applyBorder="1"/>
    <xf numFmtId="0" fontId="2" fillId="13" borderId="104" xfId="0" applyFont="1" applyFill="1" applyBorder="1"/>
    <xf numFmtId="0" fontId="2" fillId="13" borderId="105" xfId="0" applyFont="1" applyFill="1" applyBorder="1"/>
    <xf numFmtId="0" fontId="2" fillId="13" borderId="113" xfId="0" applyFont="1" applyFill="1" applyBorder="1"/>
    <xf numFmtId="0" fontId="2" fillId="13" borderId="107" xfId="0" applyFont="1" applyFill="1" applyBorder="1"/>
    <xf numFmtId="0" fontId="1" fillId="5" borderId="113" xfId="0" applyFont="1" applyFill="1" applyBorder="1" applyAlignment="1">
      <alignment horizontal="left"/>
    </xf>
    <xf numFmtId="0" fontId="1" fillId="5" borderId="107" xfId="0" applyFont="1" applyFill="1" applyBorder="1" applyAlignment="1">
      <alignment horizontal="center"/>
    </xf>
    <xf numFmtId="0" fontId="1" fillId="5" borderId="114" xfId="0" applyFont="1" applyFill="1" applyBorder="1" applyAlignment="1">
      <alignment horizontal="left"/>
    </xf>
    <xf numFmtId="0" fontId="1" fillId="5" borderId="110" xfId="0" applyFont="1" applyFill="1" applyBorder="1" applyAlignment="1">
      <alignment horizontal="center"/>
    </xf>
    <xf numFmtId="0" fontId="1" fillId="5" borderId="110" xfId="0" applyFont="1" applyFill="1" applyBorder="1"/>
    <xf numFmtId="0" fontId="1" fillId="5" borderId="111" xfId="0" applyFont="1" applyFill="1" applyBorder="1" applyAlignment="1">
      <alignment horizontal="center"/>
    </xf>
    <xf numFmtId="0" fontId="10" fillId="13" borderId="10" xfId="3" applyFont="1" applyFill="1" applyBorder="1" applyAlignment="1">
      <alignment horizontal="center" vertical="center"/>
    </xf>
    <xf numFmtId="0" fontId="66" fillId="0" borderId="100" xfId="0" applyFont="1" applyBorder="1"/>
    <xf numFmtId="182" fontId="67" fillId="6" borderId="1" xfId="0" applyNumberFormat="1" applyFont="1" applyFill="1" applyBorder="1" applyAlignment="1" applyProtection="1">
      <alignment horizontal="center" vertical="center" wrapText="1"/>
      <protection locked="0"/>
    </xf>
    <xf numFmtId="0" fontId="68" fillId="0" borderId="0" xfId="0" applyFont="1" applyAlignment="1">
      <alignment horizontal="justify" vertical="center"/>
    </xf>
    <xf numFmtId="0" fontId="1" fillId="17" borderId="24" xfId="0" applyFont="1" applyFill="1" applyBorder="1" applyAlignment="1">
      <alignment horizontal="center" vertical="center" wrapText="1"/>
    </xf>
    <xf numFmtId="0" fontId="1" fillId="17" borderId="22" xfId="0" applyFont="1" applyFill="1" applyBorder="1" applyAlignment="1">
      <alignment horizontal="center" vertical="center" wrapText="1"/>
    </xf>
    <xf numFmtId="0" fontId="1" fillId="17" borderId="20" xfId="0" applyFont="1" applyFill="1" applyBorder="1" applyAlignment="1">
      <alignment horizontal="center" vertical="center" wrapText="1"/>
    </xf>
    <xf numFmtId="0" fontId="69" fillId="4" borderId="10" xfId="0" applyFont="1" applyFill="1" applyBorder="1" applyAlignment="1">
      <alignment horizontal="center" vertical="center" wrapText="1"/>
    </xf>
    <xf numFmtId="0" fontId="3" fillId="5" borderId="0" xfId="4" applyFont="1" applyFill="1" applyAlignment="1">
      <alignment horizontal="left" vertical="center"/>
    </xf>
    <xf numFmtId="0" fontId="1" fillId="5" borderId="0" xfId="4" applyFont="1" applyFill="1" applyAlignment="1">
      <alignment horizontal="left" vertical="center"/>
    </xf>
    <xf numFmtId="0" fontId="25" fillId="5" borderId="0" xfId="0" applyFont="1" applyFill="1" applyBorder="1" applyAlignment="1">
      <alignment horizontal="center" vertical="center" wrapText="1"/>
    </xf>
    <xf numFmtId="0" fontId="10" fillId="13" borderId="13" xfId="3" applyFont="1" applyFill="1" applyBorder="1" applyAlignment="1">
      <alignment horizontal="center" vertical="center"/>
    </xf>
    <xf numFmtId="0" fontId="20" fillId="13" borderId="14" xfId="3" applyFont="1" applyFill="1" applyBorder="1" applyAlignment="1">
      <alignment horizontal="center" vertical="center"/>
    </xf>
    <xf numFmtId="0" fontId="20" fillId="13" borderId="10" xfId="3" applyFont="1" applyFill="1" applyBorder="1" applyAlignment="1">
      <alignment horizontal="center" vertical="center"/>
    </xf>
    <xf numFmtId="0" fontId="13" fillId="13" borderId="28" xfId="3" applyFont="1" applyFill="1" applyBorder="1" applyAlignment="1">
      <alignment horizontal="center" vertical="center"/>
    </xf>
    <xf numFmtId="0" fontId="13" fillId="13" borderId="27" xfId="3" applyFont="1" applyFill="1" applyBorder="1" applyAlignment="1">
      <alignment horizontal="center" vertical="center"/>
    </xf>
    <xf numFmtId="0" fontId="6" fillId="6" borderId="13"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60" xfId="0" applyFont="1" applyFill="1" applyBorder="1" applyAlignment="1" applyProtection="1">
      <alignment horizontal="center" vertical="center"/>
      <protection locked="0"/>
    </xf>
    <xf numFmtId="0" fontId="3" fillId="4" borderId="0"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left" vertical="center"/>
    </xf>
    <xf numFmtId="0" fontId="2" fillId="13" borderId="13" xfId="0" applyFont="1" applyFill="1" applyBorder="1" applyAlignment="1">
      <alignment horizontal="left" vertical="center"/>
    </xf>
    <xf numFmtId="0" fontId="2" fillId="13" borderId="10" xfId="0" applyFont="1" applyFill="1" applyBorder="1" applyAlignment="1">
      <alignment horizontal="left" vertical="center"/>
    </xf>
    <xf numFmtId="1" fontId="16" fillId="6" borderId="28" xfId="0" applyNumberFormat="1" applyFont="1" applyFill="1" applyBorder="1" applyAlignment="1" applyProtection="1">
      <alignment horizontal="center" vertical="center"/>
      <protection locked="0"/>
    </xf>
    <xf numFmtId="1" fontId="16" fillId="6" borderId="27" xfId="0" applyNumberFormat="1" applyFont="1" applyFill="1" applyBorder="1" applyAlignment="1" applyProtection="1">
      <alignment horizontal="center" vertical="center"/>
      <protection locked="0"/>
    </xf>
    <xf numFmtId="1" fontId="16" fillId="6" borderId="26" xfId="0" applyNumberFormat="1" applyFont="1" applyFill="1" applyBorder="1" applyAlignment="1" applyProtection="1">
      <alignment horizontal="center" vertical="center"/>
      <protection locked="0"/>
    </xf>
    <xf numFmtId="0" fontId="2" fillId="14" borderId="28"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6" xfId="0" applyFont="1" applyFill="1" applyBorder="1" applyAlignment="1">
      <alignment horizontal="center" vertical="center" wrapText="1"/>
    </xf>
    <xf numFmtId="172" fontId="8" fillId="7" borderId="28" xfId="0" applyNumberFormat="1" applyFont="1" applyFill="1" applyBorder="1" applyAlignment="1">
      <alignment horizontal="center" vertical="center"/>
    </xf>
    <xf numFmtId="172" fontId="8" fillId="7" borderId="27" xfId="0" applyNumberFormat="1" applyFont="1" applyFill="1" applyBorder="1" applyAlignment="1">
      <alignment horizontal="center" vertical="center"/>
    </xf>
    <xf numFmtId="172" fontId="8" fillId="7" borderId="26" xfId="0" applyNumberFormat="1" applyFont="1" applyFill="1" applyBorder="1" applyAlignment="1">
      <alignment horizontal="center" vertical="center"/>
    </xf>
    <xf numFmtId="0" fontId="7" fillId="4" borderId="0" xfId="0" applyFont="1" applyFill="1" applyAlignment="1">
      <alignment horizontal="left" vertical="center"/>
    </xf>
    <xf numFmtId="0" fontId="22" fillId="5" borderId="41"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45" xfId="0" applyFont="1" applyFill="1" applyBorder="1" applyAlignment="1">
      <alignment horizontal="center" vertical="center"/>
    </xf>
    <xf numFmtId="182" fontId="2" fillId="3" borderId="13"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172" fontId="8" fillId="11" borderId="28" xfId="0" applyNumberFormat="1" applyFont="1" applyFill="1" applyBorder="1" applyAlignment="1">
      <alignment horizontal="center" vertical="center"/>
    </xf>
    <xf numFmtId="172" fontId="8" fillId="11" borderId="27" xfId="0" applyNumberFormat="1" applyFont="1" applyFill="1" applyBorder="1" applyAlignment="1">
      <alignment horizontal="center" vertical="center"/>
    </xf>
    <xf numFmtId="172" fontId="8" fillId="11" borderId="26" xfId="0" applyNumberFormat="1" applyFont="1" applyFill="1" applyBorder="1" applyAlignment="1">
      <alignment horizontal="center" vertical="center"/>
    </xf>
    <xf numFmtId="9" fontId="2" fillId="3" borderId="13" xfId="1" applyFont="1" applyFill="1" applyBorder="1" applyAlignment="1">
      <alignment horizontal="center" vertical="center" wrapText="1"/>
    </xf>
    <xf numFmtId="9" fontId="2" fillId="3" borderId="14" xfId="1" applyFont="1" applyFill="1" applyBorder="1" applyAlignment="1">
      <alignment horizontal="center" vertical="center" wrapText="1"/>
    </xf>
    <xf numFmtId="9" fontId="2" fillId="3" borderId="10" xfId="1" applyFont="1" applyFill="1" applyBorder="1" applyAlignment="1">
      <alignment horizontal="center" vertical="center" wrapText="1"/>
    </xf>
    <xf numFmtId="0" fontId="2" fillId="14" borderId="13" xfId="0" applyFont="1" applyFill="1" applyBorder="1" applyAlignment="1">
      <alignment horizontal="left" vertical="center" wrapText="1"/>
    </xf>
    <xf numFmtId="0" fontId="2" fillId="14" borderId="14" xfId="0" applyFont="1" applyFill="1" applyBorder="1" applyAlignment="1">
      <alignment horizontal="left" vertical="center" wrapText="1"/>
    </xf>
    <xf numFmtId="0" fontId="2" fillId="14" borderId="10" xfId="0" applyFont="1" applyFill="1" applyBorder="1" applyAlignment="1">
      <alignment horizontal="left" vertical="center" wrapText="1"/>
    </xf>
    <xf numFmtId="0" fontId="7" fillId="4" borderId="0" xfId="0" applyFont="1" applyFill="1" applyBorder="1" applyAlignment="1">
      <alignment horizontal="left" vertical="center"/>
    </xf>
    <xf numFmtId="184" fontId="8" fillId="7" borderId="2" xfId="0" applyNumberFormat="1" applyFont="1" applyFill="1" applyBorder="1" applyAlignment="1">
      <alignment horizontal="center" vertical="center"/>
    </xf>
    <xf numFmtId="184" fontId="8" fillId="7" borderId="5" xfId="0" applyNumberFormat="1" applyFont="1" applyFill="1" applyBorder="1" applyAlignment="1">
      <alignment horizontal="center" vertical="center"/>
    </xf>
    <xf numFmtId="184" fontId="8" fillId="7" borderId="7" xfId="0" applyNumberFormat="1" applyFont="1" applyFill="1" applyBorder="1" applyAlignment="1">
      <alignment horizontal="center" vertical="center"/>
    </xf>
    <xf numFmtId="184" fontId="8" fillId="7" borderId="4" xfId="0" applyNumberFormat="1" applyFont="1" applyFill="1" applyBorder="1" applyAlignment="1">
      <alignment horizontal="center" vertical="center"/>
    </xf>
    <xf numFmtId="184" fontId="8" fillId="7" borderId="6" xfId="0" applyNumberFormat="1" applyFont="1" applyFill="1" applyBorder="1" applyAlignment="1">
      <alignment horizontal="center" vertical="center"/>
    </xf>
    <xf numFmtId="184" fontId="8" fillId="7" borderId="9" xfId="0" applyNumberFormat="1" applyFont="1" applyFill="1" applyBorder="1" applyAlignment="1">
      <alignment horizontal="center" vertical="center"/>
    </xf>
    <xf numFmtId="0" fontId="42" fillId="13" borderId="13" xfId="0" applyFont="1" applyFill="1" applyBorder="1" applyAlignment="1">
      <alignment horizontal="center" vertical="center" wrapText="1"/>
    </xf>
    <xf numFmtId="0" fontId="42" fillId="13" borderId="14" xfId="0" applyFont="1" applyFill="1" applyBorder="1" applyAlignment="1">
      <alignment horizontal="center" vertical="center" wrapText="1"/>
    </xf>
    <xf numFmtId="0" fontId="42" fillId="13" borderId="10" xfId="0" applyFont="1" applyFill="1" applyBorder="1" applyAlignment="1">
      <alignment horizontal="center" vertical="center" wrapText="1"/>
    </xf>
    <xf numFmtId="172" fontId="6" fillId="11" borderId="28" xfId="0" applyNumberFormat="1" applyFont="1" applyFill="1" applyBorder="1" applyAlignment="1">
      <alignment horizontal="center" vertical="center"/>
    </xf>
    <xf numFmtId="172" fontId="6" fillId="11" borderId="26" xfId="0" applyNumberFormat="1" applyFont="1" applyFill="1" applyBorder="1" applyAlignment="1">
      <alignment horizontal="center" vertical="center"/>
    </xf>
    <xf numFmtId="0" fontId="42" fillId="5" borderId="3" xfId="0" applyFont="1" applyFill="1" applyBorder="1" applyAlignment="1">
      <alignment horizontal="center" vertical="center"/>
    </xf>
    <xf numFmtId="9" fontId="6" fillId="11" borderId="28" xfId="1" applyFont="1" applyFill="1" applyBorder="1" applyAlignment="1">
      <alignment horizontal="center" vertical="center"/>
    </xf>
    <xf numFmtId="9" fontId="6" fillId="11" borderId="26" xfId="1" applyFont="1" applyFill="1" applyBorder="1" applyAlignment="1">
      <alignment horizontal="center" vertical="center"/>
    </xf>
    <xf numFmtId="189" fontId="2" fillId="6" borderId="13" xfId="0" applyNumberFormat="1" applyFont="1" applyFill="1" applyBorder="1" applyAlignment="1" applyProtection="1">
      <alignment horizontal="center" vertical="center"/>
      <protection locked="0"/>
    </xf>
    <xf numFmtId="189" fontId="2" fillId="6" borderId="14" xfId="0" applyNumberFormat="1" applyFont="1" applyFill="1" applyBorder="1" applyAlignment="1" applyProtection="1">
      <alignment horizontal="center" vertical="center"/>
      <protection locked="0"/>
    </xf>
    <xf numFmtId="189" fontId="2" fillId="6" borderId="10" xfId="0" applyNumberFormat="1" applyFont="1" applyFill="1" applyBorder="1" applyAlignment="1" applyProtection="1">
      <alignment horizontal="center" vertical="center"/>
      <protection locked="0"/>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3" fillId="10" borderId="13" xfId="0" applyFont="1" applyFill="1" applyBorder="1" applyAlignment="1">
      <alignment horizontal="center"/>
    </xf>
    <xf numFmtId="0" fontId="33" fillId="10" borderId="14" xfId="0" applyFont="1" applyFill="1" applyBorder="1" applyAlignment="1">
      <alignment horizontal="center"/>
    </xf>
    <xf numFmtId="0" fontId="33" fillId="10" borderId="10" xfId="0" applyFont="1" applyFill="1" applyBorder="1" applyAlignment="1">
      <alignment horizontal="center"/>
    </xf>
    <xf numFmtId="0" fontId="22" fillId="5" borderId="57" xfId="0" applyFont="1" applyFill="1" applyBorder="1" applyAlignment="1">
      <alignment horizontal="center" vertical="center"/>
    </xf>
    <xf numFmtId="0" fontId="22" fillId="5" borderId="58" xfId="0" applyFont="1" applyFill="1" applyBorder="1" applyAlignment="1">
      <alignment horizontal="center" vertical="center"/>
    </xf>
    <xf numFmtId="0" fontId="22" fillId="5" borderId="59" xfId="0" applyFont="1" applyFill="1" applyBorder="1" applyAlignment="1">
      <alignment horizontal="center" vertical="center"/>
    </xf>
    <xf numFmtId="49" fontId="24" fillId="7" borderId="13" xfId="0" applyNumberFormat="1" applyFont="1" applyFill="1" applyBorder="1" applyAlignment="1">
      <alignment horizontal="center" vertical="center"/>
    </xf>
    <xf numFmtId="49" fontId="24" fillId="7" borderId="10" xfId="0" applyNumberFormat="1" applyFont="1" applyFill="1" applyBorder="1" applyAlignment="1">
      <alignment horizontal="center" vertical="center"/>
    </xf>
    <xf numFmtId="177" fontId="24" fillId="7" borderId="13" xfId="0" applyNumberFormat="1" applyFont="1" applyFill="1" applyBorder="1" applyAlignment="1">
      <alignment horizontal="center" vertical="center"/>
    </xf>
    <xf numFmtId="177" fontId="24" fillId="7" borderId="10" xfId="0" applyNumberFormat="1"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2" xfId="0" applyFont="1" applyFill="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7" fillId="4" borderId="3" xfId="0" applyFont="1" applyFill="1" applyBorder="1" applyAlignment="1">
      <alignment horizontal="left" vertical="center"/>
    </xf>
    <xf numFmtId="0" fontId="7" fillId="4" borderId="8" xfId="0" applyFont="1" applyFill="1" applyBorder="1" applyAlignment="1">
      <alignment horizontal="left"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9" xfId="0" applyFont="1" applyFill="1" applyBorder="1" applyAlignment="1">
      <alignment horizontal="left" vertical="center"/>
    </xf>
    <xf numFmtId="185" fontId="1" fillId="6" borderId="14" xfId="0" applyNumberFormat="1" applyFont="1" applyFill="1" applyBorder="1" applyAlignment="1" applyProtection="1">
      <alignment horizontal="left" vertical="center" wrapText="1"/>
      <protection locked="0"/>
    </xf>
    <xf numFmtId="185" fontId="1" fillId="6" borderId="10" xfId="0" applyNumberFormat="1" applyFont="1" applyFill="1" applyBorder="1" applyAlignment="1" applyProtection="1">
      <alignment horizontal="left" vertical="center" wrapText="1"/>
      <protection locked="0"/>
    </xf>
    <xf numFmtId="0" fontId="25" fillId="5" borderId="2"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0" xfId="0" applyFont="1" applyFill="1" applyBorder="1" applyAlignment="1">
      <alignment horizontal="left"/>
    </xf>
    <xf numFmtId="0" fontId="1" fillId="5" borderId="45" xfId="0" applyFont="1" applyFill="1" applyBorder="1" applyAlignment="1">
      <alignment horizontal="center"/>
    </xf>
    <xf numFmtId="0" fontId="1" fillId="5" borderId="10" xfId="0" applyFont="1" applyFill="1" applyBorder="1" applyAlignment="1">
      <alignment horizontal="center"/>
    </xf>
    <xf numFmtId="0" fontId="6" fillId="13" borderId="14" xfId="0" applyFont="1" applyFill="1" applyBorder="1" applyAlignment="1">
      <alignment horizontal="center" vertical="center"/>
    </xf>
    <xf numFmtId="0" fontId="6" fillId="13" borderId="10" xfId="0" applyFont="1" applyFill="1" applyBorder="1" applyAlignment="1">
      <alignment horizontal="center" vertical="center"/>
    </xf>
    <xf numFmtId="0" fontId="38" fillId="5" borderId="3" xfId="0" applyFont="1" applyFill="1" applyBorder="1" applyAlignment="1">
      <alignment horizontal="center" vertical="center"/>
    </xf>
    <xf numFmtId="0" fontId="22" fillId="13" borderId="14" xfId="0" applyFont="1" applyFill="1" applyBorder="1" applyAlignment="1">
      <alignment horizontal="left" vertical="center"/>
    </xf>
    <xf numFmtId="0" fontId="6" fillId="13" borderId="13"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22" fillId="13" borderId="13" xfId="0" applyFont="1" applyFill="1" applyBorder="1" applyAlignment="1">
      <alignment horizontal="left" vertical="center"/>
    </xf>
    <xf numFmtId="0" fontId="42" fillId="5" borderId="2" xfId="0" applyFont="1" applyFill="1" applyBorder="1" applyAlignment="1">
      <alignment horizontal="left" vertical="top"/>
    </xf>
    <xf numFmtId="0" fontId="42" fillId="5" borderId="5" xfId="0" applyFont="1" applyFill="1" applyBorder="1" applyAlignment="1">
      <alignment horizontal="left" vertical="top"/>
    </xf>
    <xf numFmtId="0" fontId="42" fillId="5" borderId="3" xfId="0" applyFont="1" applyFill="1" applyBorder="1" applyAlignment="1">
      <alignment horizontal="left" vertical="top"/>
    </xf>
    <xf numFmtId="0" fontId="42" fillId="5" borderId="0" xfId="0" applyFont="1" applyFill="1" applyBorder="1" applyAlignment="1">
      <alignment horizontal="left" vertical="top"/>
    </xf>
    <xf numFmtId="0" fontId="42" fillId="5" borderId="4" xfId="0" applyFont="1" applyFill="1" applyBorder="1" applyAlignment="1">
      <alignment horizontal="left" vertical="top"/>
    </xf>
    <xf numFmtId="0" fontId="42" fillId="5" borderId="6" xfId="0" applyFont="1" applyFill="1" applyBorder="1" applyAlignment="1">
      <alignment horizontal="left" vertical="top"/>
    </xf>
    <xf numFmtId="0" fontId="23" fillId="5" borderId="5" xfId="0" applyFont="1" applyFill="1" applyBorder="1" applyAlignment="1">
      <alignment horizontal="left" vertical="top" wrapText="1"/>
    </xf>
    <xf numFmtId="0" fontId="23" fillId="5" borderId="7" xfId="0" applyFont="1" applyFill="1" applyBorder="1" applyAlignment="1">
      <alignment horizontal="left" vertical="top" wrapText="1"/>
    </xf>
    <xf numFmtId="0" fontId="23" fillId="5" borderId="0" xfId="0" applyFont="1" applyFill="1" applyBorder="1" applyAlignment="1">
      <alignment horizontal="left" vertical="top" wrapText="1"/>
    </xf>
    <xf numFmtId="0" fontId="23" fillId="5" borderId="8" xfId="0" applyFont="1" applyFill="1" applyBorder="1" applyAlignment="1">
      <alignment horizontal="left" vertical="top" wrapText="1"/>
    </xf>
    <xf numFmtId="0" fontId="23" fillId="5" borderId="6" xfId="0" applyFont="1" applyFill="1" applyBorder="1" applyAlignment="1">
      <alignment horizontal="left" vertical="top" wrapText="1"/>
    </xf>
    <xf numFmtId="0" fontId="23" fillId="5" borderId="9" xfId="0" applyFont="1" applyFill="1" applyBorder="1" applyAlignment="1">
      <alignment horizontal="left" vertical="top" wrapText="1"/>
    </xf>
    <xf numFmtId="0" fontId="1" fillId="13" borderId="2" xfId="0" applyFont="1" applyFill="1" applyBorder="1" applyAlignment="1">
      <alignment horizontal="left"/>
    </xf>
    <xf numFmtId="0" fontId="1" fillId="13" borderId="5" xfId="0" applyFont="1" applyFill="1" applyBorder="1" applyAlignment="1">
      <alignment horizontal="left"/>
    </xf>
    <xf numFmtId="0" fontId="22" fillId="13" borderId="8" xfId="0" applyFont="1" applyFill="1" applyBorder="1" applyAlignment="1">
      <alignment horizontal="center" vertical="center" textRotation="180"/>
    </xf>
    <xf numFmtId="0" fontId="22" fillId="13" borderId="9" xfId="0" applyFont="1" applyFill="1" applyBorder="1" applyAlignment="1">
      <alignment horizontal="center" vertical="center" textRotation="180"/>
    </xf>
    <xf numFmtId="0" fontId="1" fillId="5" borderId="2" xfId="0" applyFont="1" applyFill="1" applyBorder="1" applyAlignment="1">
      <alignment horizontal="center"/>
    </xf>
    <xf numFmtId="0" fontId="1" fillId="5" borderId="7" xfId="0" applyFont="1" applyFill="1" applyBorder="1" applyAlignment="1">
      <alignment horizontal="center"/>
    </xf>
    <xf numFmtId="0" fontId="1" fillId="5" borderId="3" xfId="0" applyFont="1" applyFill="1" applyBorder="1" applyAlignment="1">
      <alignment horizontal="center"/>
    </xf>
    <xf numFmtId="0" fontId="1" fillId="5" borderId="8" xfId="0" applyFont="1" applyFill="1" applyBorder="1" applyAlignment="1">
      <alignment horizontal="center"/>
    </xf>
    <xf numFmtId="0" fontId="1" fillId="5" borderId="4" xfId="0" applyFont="1" applyFill="1" applyBorder="1" applyAlignment="1">
      <alignment horizontal="center"/>
    </xf>
    <xf numFmtId="0" fontId="1" fillId="5" borderId="9" xfId="0" applyFont="1" applyFill="1" applyBorder="1" applyAlignment="1">
      <alignment horizontal="center"/>
    </xf>
    <xf numFmtId="0" fontId="6" fillId="13" borderId="2" xfId="0" applyFont="1" applyFill="1" applyBorder="1" applyAlignment="1">
      <alignment horizontal="center" wrapText="1"/>
    </xf>
    <xf numFmtId="0" fontId="6" fillId="13" borderId="5" xfId="0" applyFont="1" applyFill="1" applyBorder="1" applyAlignment="1">
      <alignment horizontal="center" wrapText="1"/>
    </xf>
    <xf numFmtId="0" fontId="6" fillId="13" borderId="7" xfId="0" applyFont="1" applyFill="1" applyBorder="1" applyAlignment="1">
      <alignment horizontal="center" wrapText="1"/>
    </xf>
    <xf numFmtId="0" fontId="6" fillId="13" borderId="4" xfId="0" applyFont="1" applyFill="1" applyBorder="1" applyAlignment="1">
      <alignment horizontal="center" wrapText="1"/>
    </xf>
    <xf numFmtId="0" fontId="6" fillId="13" borderId="6" xfId="0" applyFont="1" applyFill="1" applyBorder="1" applyAlignment="1">
      <alignment horizontal="center" wrapText="1"/>
    </xf>
    <xf numFmtId="0" fontId="6" fillId="13" borderId="9" xfId="0" applyFont="1" applyFill="1" applyBorder="1" applyAlignment="1">
      <alignment horizontal="center" wrapText="1"/>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9" xfId="0" applyFont="1" applyFill="1" applyBorder="1" applyAlignment="1">
      <alignment horizontal="center" vertical="center"/>
    </xf>
    <xf numFmtId="0" fontId="42" fillId="13" borderId="13"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0" xfId="0" applyFont="1" applyFill="1" applyBorder="1" applyAlignment="1">
      <alignment horizontal="center" vertical="center"/>
    </xf>
    <xf numFmtId="0" fontId="1" fillId="13" borderId="13" xfId="0" applyFont="1" applyFill="1" applyBorder="1" applyAlignment="1">
      <alignment horizontal="left" vertical="center"/>
    </xf>
    <xf numFmtId="0" fontId="1" fillId="13" borderId="10" xfId="0" applyFont="1" applyFill="1" applyBorder="1" applyAlignment="1">
      <alignment horizontal="left" vertical="center"/>
    </xf>
    <xf numFmtId="0" fontId="1" fillId="13" borderId="14" xfId="0" applyFont="1" applyFill="1" applyBorder="1" applyAlignment="1">
      <alignment horizontal="left" vertical="center"/>
    </xf>
    <xf numFmtId="0" fontId="6" fillId="13" borderId="13" xfId="0" applyFont="1" applyFill="1" applyBorder="1" applyAlignment="1">
      <alignment horizontal="center" textRotation="90" wrapText="1"/>
    </xf>
    <xf numFmtId="0" fontId="6" fillId="13" borderId="10" xfId="0" applyFont="1" applyFill="1" applyBorder="1" applyAlignment="1">
      <alignment horizontal="center" textRotation="90" wrapText="1"/>
    </xf>
    <xf numFmtId="0" fontId="23" fillId="5" borderId="14" xfId="0" applyFont="1" applyFill="1" applyBorder="1" applyAlignment="1">
      <alignment horizontal="left" vertical="top" wrapText="1"/>
    </xf>
    <xf numFmtId="0" fontId="23" fillId="5" borderId="10" xfId="0" applyFont="1" applyFill="1" applyBorder="1" applyAlignment="1">
      <alignment horizontal="left" vertical="top" wrapText="1"/>
    </xf>
    <xf numFmtId="0" fontId="25" fillId="5" borderId="0" xfId="0" applyFont="1" applyFill="1" applyBorder="1" applyAlignment="1">
      <alignment horizontal="center"/>
    </xf>
    <xf numFmtId="0" fontId="42" fillId="13" borderId="2" xfId="0" applyFont="1" applyFill="1" applyBorder="1" applyAlignment="1">
      <alignment horizontal="left"/>
    </xf>
    <xf numFmtId="0" fontId="42" fillId="13" borderId="5" xfId="0" applyFont="1" applyFill="1" applyBorder="1" applyAlignment="1">
      <alignment horizontal="left"/>
    </xf>
    <xf numFmtId="0" fontId="42" fillId="13" borderId="7" xfId="0" applyFont="1" applyFill="1" applyBorder="1" applyAlignment="1">
      <alignment horizontal="left"/>
    </xf>
    <xf numFmtId="0" fontId="40" fillId="13" borderId="13" xfId="0" applyFont="1" applyFill="1" applyBorder="1" applyAlignment="1" applyProtection="1">
      <alignment vertical="center" wrapText="1"/>
      <protection locked="0"/>
    </xf>
    <xf numFmtId="0" fontId="40" fillId="13" borderId="10" xfId="0" applyFont="1" applyFill="1" applyBorder="1" applyAlignment="1" applyProtection="1">
      <alignment vertical="center" wrapText="1"/>
      <protection locked="0"/>
    </xf>
    <xf numFmtId="0" fontId="50" fillId="13" borderId="13"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13" borderId="10" xfId="0" applyFont="1" applyFill="1" applyBorder="1" applyAlignment="1">
      <alignment horizontal="center" vertical="center" wrapText="1"/>
    </xf>
    <xf numFmtId="172" fontId="23" fillId="13" borderId="13" xfId="0" applyNumberFormat="1" applyFont="1" applyFill="1" applyBorder="1" applyAlignment="1">
      <alignment horizontal="center" vertical="center"/>
    </xf>
    <xf numFmtId="172" fontId="23" fillId="13" borderId="10" xfId="0" applyNumberFormat="1" applyFont="1" applyFill="1" applyBorder="1" applyAlignment="1">
      <alignment horizontal="center" vertical="center"/>
    </xf>
    <xf numFmtId="172" fontId="50" fillId="12" borderId="13" xfId="0" applyNumberFormat="1" applyFont="1" applyFill="1" applyBorder="1" applyAlignment="1">
      <alignment horizontal="center" vertical="center"/>
    </xf>
    <xf numFmtId="172" fontId="50" fillId="12" borderId="10" xfId="0" applyNumberFormat="1" applyFont="1" applyFill="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59" xfId="0" applyFont="1" applyBorder="1" applyAlignment="1">
      <alignment horizontal="center" vertical="center"/>
    </xf>
    <xf numFmtId="0" fontId="23" fillId="0" borderId="68"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24" xfId="0" applyFont="1" applyBorder="1" applyAlignment="1">
      <alignment horizontal="center" vertical="center"/>
    </xf>
    <xf numFmtId="0" fontId="42" fillId="0" borderId="20" xfId="0" applyFont="1" applyBorder="1" applyAlignment="1">
      <alignment horizontal="center" vertical="center"/>
    </xf>
    <xf numFmtId="0" fontId="42" fillId="0" borderId="34" xfId="0" applyFont="1" applyBorder="1" applyAlignment="1">
      <alignment horizontal="center" vertical="center" wrapText="1"/>
    </xf>
    <xf numFmtId="0" fontId="42" fillId="0" borderId="20" xfId="0" applyFont="1" applyBorder="1" applyAlignment="1">
      <alignment horizontal="center" vertical="center" wrapText="1"/>
    </xf>
    <xf numFmtId="0" fontId="23" fillId="0" borderId="20" xfId="0" applyFont="1" applyBorder="1" applyAlignment="1">
      <alignment horizontal="left" wrapText="1"/>
    </xf>
    <xf numFmtId="0" fontId="23" fillId="0" borderId="36" xfId="0" applyFont="1" applyBorder="1" applyAlignment="1">
      <alignment horizontal="left" wrapText="1"/>
    </xf>
    <xf numFmtId="0" fontId="23" fillId="0" borderId="20" xfId="0" applyFont="1" applyBorder="1" applyAlignment="1">
      <alignment horizontal="left" vertical="center" wrapText="1"/>
    </xf>
    <xf numFmtId="0" fontId="23" fillId="0" borderId="36" xfId="0" applyFont="1" applyBorder="1" applyAlignment="1">
      <alignment horizontal="left" vertical="center" wrapText="1"/>
    </xf>
    <xf numFmtId="0" fontId="23" fillId="0" borderId="21" xfId="0" applyFont="1" applyBorder="1" applyAlignment="1">
      <alignment horizontal="left" vertical="center" wrapText="1"/>
    </xf>
    <xf numFmtId="0" fontId="23" fillId="0" borderId="37" xfId="0" applyFont="1" applyBorder="1" applyAlignment="1">
      <alignment horizontal="left" vertical="center" wrapText="1"/>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58" xfId="0" applyFont="1" applyBorder="1" applyAlignment="1">
      <alignment horizontal="center" vertical="center"/>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64" xfId="0" applyFont="1" applyBorder="1" applyAlignment="1">
      <alignment horizontal="left" vertical="top" wrapText="1"/>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23" fillId="0" borderId="66" xfId="0" applyFont="1" applyBorder="1" applyAlignment="1">
      <alignment horizontal="left" vertical="top" wrapText="1"/>
    </xf>
    <xf numFmtId="0" fontId="23" fillId="0" borderId="4" xfId="0" applyFont="1" applyBorder="1" applyAlignment="1">
      <alignment horizontal="left" vertical="top" wrapText="1"/>
    </xf>
    <xf numFmtId="0" fontId="23" fillId="0" borderId="6" xfId="0" applyFont="1" applyBorder="1" applyAlignment="1">
      <alignment horizontal="left" vertical="top" wrapText="1"/>
    </xf>
    <xf numFmtId="0" fontId="23" fillId="0" borderId="68" xfId="0" applyFont="1" applyBorder="1" applyAlignment="1">
      <alignment horizontal="left" vertical="top" wrapText="1"/>
    </xf>
    <xf numFmtId="0" fontId="42" fillId="0" borderId="22" xfId="0" applyFont="1" applyBorder="1" applyAlignment="1">
      <alignment horizontal="center"/>
    </xf>
    <xf numFmtId="0" fontId="42" fillId="0" borderId="44" xfId="0" applyFont="1" applyBorder="1" applyAlignment="1">
      <alignment horizontal="center"/>
    </xf>
    <xf numFmtId="0" fontId="42" fillId="0" borderId="67" xfId="0" applyFont="1" applyBorder="1" applyAlignment="1">
      <alignment horizontal="center"/>
    </xf>
    <xf numFmtId="0" fontId="42" fillId="0" borderId="51" xfId="0" applyFont="1" applyBorder="1" applyAlignment="1">
      <alignment horizontal="center"/>
    </xf>
    <xf numFmtId="0" fontId="42" fillId="0" borderId="54" xfId="0" applyFont="1" applyBorder="1" applyAlignment="1">
      <alignment horizontal="center"/>
    </xf>
    <xf numFmtId="0" fontId="42" fillId="0" borderId="52" xfId="0" applyFont="1" applyBorder="1" applyAlignment="1">
      <alignment horizontal="center"/>
    </xf>
    <xf numFmtId="0" fontId="42" fillId="0" borderId="55" xfId="0" applyFont="1" applyBorder="1" applyAlignment="1">
      <alignment horizontal="center"/>
    </xf>
    <xf numFmtId="0" fontId="4" fillId="13" borderId="13" xfId="0" applyFont="1" applyFill="1" applyBorder="1" applyAlignment="1">
      <alignment horizontal="left" vertical="center" wrapText="1"/>
    </xf>
    <xf numFmtId="0" fontId="4" fillId="13" borderId="14" xfId="0" applyFont="1" applyFill="1" applyBorder="1" applyAlignment="1">
      <alignment horizontal="left" vertical="center" wrapText="1"/>
    </xf>
    <xf numFmtId="0" fontId="6" fillId="13" borderId="13" xfId="0" applyFont="1" applyFill="1" applyBorder="1" applyAlignment="1">
      <alignment horizontal="center" vertical="center"/>
    </xf>
  </cellXfs>
  <cellStyles count="6">
    <cellStyle name="Comma" xfId="5" builtinId="3"/>
    <cellStyle name="Normal" xfId="0" builtinId="0"/>
    <cellStyle name="Percent" xfId="1" builtinId="5"/>
    <cellStyle name="Prozent 2" xfId="2"/>
    <cellStyle name="Standard 2" xfId="3"/>
    <cellStyle name="Standard 4" xfId="4"/>
  </cellStyles>
  <dxfs count="262">
    <dxf>
      <font>
        <color theme="1"/>
      </font>
      <fill>
        <patternFill>
          <bgColor theme="9"/>
        </patternFill>
      </fill>
    </dxf>
    <dxf>
      <font>
        <color theme="6"/>
      </font>
      <fill>
        <patternFill>
          <bgColor theme="6"/>
        </patternFill>
      </fill>
    </dxf>
    <dxf>
      <font>
        <color theme="1"/>
      </font>
      <fill>
        <patternFill>
          <bgColor theme="9"/>
        </patternFill>
      </fill>
    </dxf>
    <dxf>
      <font>
        <color theme="1"/>
      </font>
      <fill>
        <patternFill>
          <bgColor theme="9"/>
        </patternFill>
      </fill>
    </dxf>
    <dxf>
      <font>
        <color theme="6"/>
      </font>
      <fill>
        <patternFill>
          <bgColor theme="6"/>
        </patternFill>
      </fill>
    </dxf>
    <dxf>
      <font>
        <color theme="1"/>
      </font>
      <fill>
        <patternFill>
          <bgColor theme="9"/>
        </patternFill>
      </fill>
    </dxf>
    <dxf>
      <font>
        <color theme="1"/>
      </font>
      <fill>
        <patternFill>
          <bgColor theme="9"/>
        </patternFill>
      </fill>
    </dxf>
    <dxf>
      <font>
        <color theme="6"/>
      </font>
      <fill>
        <patternFill>
          <bgColor theme="6"/>
        </patternFill>
      </fill>
    </dxf>
    <dxf>
      <font>
        <color theme="1"/>
      </font>
      <fill>
        <patternFill>
          <bgColor theme="9"/>
        </patternFill>
      </fill>
    </dxf>
    <dxf>
      <font>
        <color theme="0" tint="-0.249977111117893"/>
      </font>
      <fill>
        <patternFill patternType="solid">
          <fgColor indexed="64"/>
          <bgColor theme="0" tint="-0.249977111117893"/>
        </patternFill>
      </fill>
    </dxf>
    <dxf>
      <numFmt numFmtId="172" formatCode="0\ &quot;points&quot;"/>
    </dxf>
    <dxf>
      <font>
        <color theme="9"/>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numFmt numFmtId="172" formatCode="0\ &quot;points&quot;"/>
    </dxf>
    <dxf>
      <font>
        <color theme="9"/>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9"/>
      </font>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1"/>
      </font>
      <fill>
        <patternFill>
          <bgColor theme="7" tint="0.39994506668294322"/>
        </patternFill>
      </fill>
    </dxf>
    <dxf>
      <fill>
        <patternFill>
          <bgColor theme="8" tint="0.59996337778862885"/>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9"/>
      </font>
    </dxf>
    <dxf>
      <fill>
        <patternFill>
          <bgColor theme="8" tint="0.59996337778862885"/>
        </patternFill>
      </fill>
    </dxf>
    <dxf>
      <fill>
        <patternFill>
          <bgColor theme="8" tint="0.59996337778862885"/>
        </patternFill>
      </fill>
    </dxf>
    <dxf>
      <font>
        <color theme="1"/>
      </font>
      <fill>
        <patternFill>
          <bgColor theme="7" tint="0.39994506668294322"/>
        </patternFill>
      </fill>
    </dxf>
    <dxf>
      <fill>
        <patternFill>
          <bgColor theme="8" tint="0.59996337778862885"/>
        </patternFill>
      </fill>
    </dxf>
    <dxf>
      <font>
        <color theme="1"/>
      </font>
      <fill>
        <patternFill>
          <bgColor theme="7" tint="0.39994506668294322"/>
        </patternFill>
      </fill>
    </dxf>
    <dxf>
      <font>
        <color theme="1"/>
      </font>
      <fill>
        <patternFill>
          <bgColor theme="7" tint="0.39994506668294322"/>
        </patternFill>
      </fill>
    </dxf>
    <dxf>
      <fill>
        <patternFill>
          <bgColor theme="8" tint="0.59996337778862885"/>
        </patternFill>
      </fill>
    </dxf>
    <dxf>
      <font>
        <color theme="1"/>
      </font>
      <fill>
        <patternFill>
          <bgColor theme="7" tint="0.39994506668294322"/>
        </patternFill>
      </fill>
    </dxf>
    <dxf>
      <font>
        <color theme="1"/>
      </font>
      <fill>
        <patternFill>
          <bgColor theme="7" tint="0.39994506668294322"/>
        </patternFill>
      </fill>
    </dxf>
    <dxf>
      <fill>
        <patternFill>
          <bgColor theme="8" tint="0.59996337778862885"/>
        </patternFill>
      </fill>
    </dxf>
    <dxf>
      <font>
        <color theme="1"/>
      </font>
      <fill>
        <patternFill>
          <bgColor theme="7" tint="0.39994506668294322"/>
        </patternFill>
      </fill>
    </dxf>
    <dxf>
      <fill>
        <patternFill>
          <bgColor theme="8" tint="0.59996337778862885"/>
        </patternFill>
      </fill>
    </dxf>
    <dxf>
      <font>
        <color theme="1"/>
      </font>
      <fill>
        <patternFill>
          <bgColor theme="7" tint="0.39994506668294322"/>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9"/>
      </font>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9"/>
      </font>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1"/>
      </font>
      <fill>
        <patternFill>
          <bgColor theme="7" tint="0.39994506668294322"/>
        </patternFill>
      </fill>
    </dxf>
    <dxf>
      <font>
        <color theme="6"/>
      </font>
      <fill>
        <patternFill>
          <bgColor theme="6"/>
        </patternFill>
      </fill>
    </dxf>
    <dxf>
      <font>
        <color theme="9"/>
      </font>
    </dxf>
    <dxf>
      <font>
        <color theme="0" tint="-0.249977111117893"/>
      </font>
      <fill>
        <patternFill patternType="solid">
          <fgColor indexed="64"/>
          <bgColor theme="0" tint="-0.249977111117893"/>
        </patternFill>
      </fill>
    </dxf>
    <dxf>
      <font>
        <b/>
        <i val="0"/>
        <color rgb="FFFF0000"/>
      </font>
    </dxf>
    <dxf>
      <font>
        <b/>
        <i val="0"/>
        <color rgb="FFFF0000"/>
      </font>
    </dxf>
    <dxf>
      <font>
        <color theme="9"/>
      </font>
      <fill>
        <patternFill>
          <bgColor theme="9"/>
        </patternFill>
      </fill>
    </dxf>
    <dxf>
      <font>
        <color rgb="FFFF0000"/>
      </font>
      <fill>
        <patternFill patternType="solid">
          <bgColor rgb="FFFF0000"/>
        </patternFill>
      </fill>
    </dxf>
    <dxf>
      <font>
        <color theme="9"/>
      </font>
      <fill>
        <patternFill>
          <bgColor theme="9"/>
        </patternFill>
      </fill>
    </dxf>
    <dxf>
      <font>
        <color rgb="FFFF0000"/>
      </font>
      <fill>
        <patternFill patternType="solid">
          <bgColor rgb="FFFF0000"/>
        </patternFill>
      </fill>
    </dxf>
    <dxf>
      <fill>
        <patternFill>
          <bgColor theme="8"/>
        </patternFill>
      </fill>
    </dxf>
    <dxf>
      <font>
        <color theme="0" tint="-0.249977111117893"/>
      </font>
      <fill>
        <patternFill patternType="solid">
          <fgColor indexed="64"/>
          <bgColor theme="0" tint="-0.249977111117893"/>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9"/>
      </font>
    </dxf>
    <dxf>
      <font>
        <color theme="6"/>
      </font>
      <fill>
        <patternFill>
          <bgColor theme="6"/>
        </patternFill>
      </fill>
    </dxf>
    <dxf>
      <font>
        <color theme="6"/>
      </font>
      <fill>
        <patternFill>
          <bgColor theme="6"/>
        </patternFill>
      </fill>
    </dxf>
    <dxf>
      <font>
        <color theme="1"/>
      </font>
    </dxf>
    <dxf>
      <font>
        <color theme="1"/>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1"/>
      </font>
    </dxf>
    <dxf>
      <font>
        <color theme="1"/>
      </font>
    </dxf>
    <dxf>
      <font>
        <color theme="1"/>
      </font>
    </dxf>
    <dxf>
      <font>
        <color theme="1"/>
      </font>
    </dxf>
    <dxf>
      <font>
        <color theme="9"/>
      </font>
    </dxf>
    <dxf>
      <font>
        <color theme="1"/>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9"/>
      </font>
    </dxf>
    <dxf>
      <font>
        <color theme="1"/>
      </font>
    </dxf>
    <dxf>
      <font>
        <color theme="6"/>
      </font>
      <fill>
        <patternFill>
          <bgColor theme="6"/>
        </patternFill>
      </fill>
    </dxf>
    <dxf>
      <font>
        <color theme="0" tint="-0.249977111117893"/>
      </font>
      <fill>
        <patternFill patternType="solid">
          <fgColor indexed="64"/>
          <bgColor theme="0" tint="-0.249977111117893"/>
        </patternFill>
      </fill>
    </dxf>
    <dxf>
      <font>
        <color theme="9"/>
      </font>
    </dxf>
    <dxf>
      <font>
        <color theme="1"/>
      </font>
    </dxf>
    <dxf>
      <font>
        <color theme="1"/>
      </font>
    </dxf>
    <dxf>
      <font>
        <color theme="1"/>
      </font>
    </dxf>
    <dxf>
      <font>
        <color theme="1"/>
      </font>
    </dxf>
    <dxf>
      <font>
        <color theme="1"/>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9"/>
      </font>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9"/>
      </font>
    </dxf>
    <dxf>
      <font>
        <color theme="1"/>
      </font>
    </dxf>
    <dxf>
      <font>
        <color theme="1"/>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9"/>
      </font>
    </dxf>
    <dxf>
      <font>
        <color theme="1"/>
      </font>
    </dxf>
    <dxf>
      <font>
        <color theme="1"/>
      </font>
    </dxf>
    <dxf>
      <font>
        <color theme="1"/>
      </font>
    </dxf>
    <dxf>
      <font>
        <color theme="1"/>
      </font>
    </dxf>
    <dxf>
      <font>
        <color theme="1"/>
      </font>
    </dxf>
    <dxf>
      <font>
        <color theme="6"/>
      </font>
      <fill>
        <patternFill>
          <bgColor theme="6"/>
        </patternFill>
      </fill>
    </dxf>
    <dxf>
      <font>
        <color theme="6"/>
      </font>
      <fill>
        <patternFill>
          <bgColor theme="6"/>
        </patternFill>
      </fill>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9"/>
      </font>
    </dxf>
    <dxf>
      <font>
        <color theme="1"/>
      </font>
      <fill>
        <patternFill>
          <bgColor theme="7" tint="0.39994506668294322"/>
        </patternFill>
      </fill>
    </dxf>
    <dxf>
      <font>
        <color theme="6"/>
      </font>
      <fill>
        <patternFill>
          <bgColor theme="6"/>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9"/>
      </font>
    </dxf>
    <dxf>
      <font>
        <color theme="6"/>
      </font>
      <fill>
        <patternFill>
          <bgColor theme="6"/>
        </patternFill>
      </fill>
    </dxf>
    <dxf>
      <font>
        <color theme="0" tint="-0.249977111117893"/>
      </font>
      <fill>
        <patternFill patternType="solid">
          <fgColor indexed="64"/>
          <bgColor theme="0" tint="-0.249977111117893"/>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ont>
        <color rgb="FFFF0000"/>
      </font>
    </dxf>
    <dxf>
      <fill>
        <patternFill>
          <bgColor theme="8"/>
        </patternFill>
      </fill>
    </dxf>
    <dxf>
      <font>
        <color theme="9"/>
      </font>
    </dxf>
    <dxf>
      <font>
        <color theme="0"/>
      </font>
      <fill>
        <patternFill>
          <bgColor rgb="FFFF0000"/>
        </patternFill>
      </fill>
    </dxf>
    <dxf>
      <font>
        <color theme="1"/>
      </font>
      <fill>
        <patternFill>
          <bgColor theme="9"/>
        </patternFill>
      </fill>
    </dxf>
    <dxf>
      <fill>
        <patternFill>
          <bgColor theme="9"/>
        </patternFill>
      </fill>
    </dxf>
    <dxf>
      <font>
        <color theme="0"/>
      </font>
      <fill>
        <patternFill>
          <bgColor rgb="FFFF0000"/>
        </patternFill>
      </fill>
    </dxf>
    <dxf>
      <font>
        <color theme="0"/>
      </font>
      <fill>
        <patternFill>
          <bgColor rgb="FFFF0000"/>
        </patternFill>
      </fill>
    </dxf>
    <dxf>
      <font>
        <color theme="1"/>
      </font>
      <fill>
        <patternFill>
          <bgColor theme="9"/>
        </patternFill>
      </fill>
    </dxf>
    <dxf>
      <fill>
        <patternFill>
          <bgColor theme="9"/>
        </patternFill>
      </fill>
    </dxf>
    <dxf>
      <font>
        <color theme="0"/>
      </font>
      <fill>
        <patternFill>
          <bgColor rgb="FFFF00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0" tint="-0.249977111117893"/>
      </font>
      <fill>
        <patternFill patternType="solid">
          <fgColor indexed="64"/>
          <bgColor theme="0" tint="-0.249977111117893"/>
        </patternFill>
      </fill>
    </dxf>
    <dxf>
      <font>
        <color theme="1"/>
      </font>
      <fill>
        <patternFill>
          <bgColor theme="7" tint="0.39994506668294322"/>
        </patternFill>
      </fill>
    </dxf>
    <dxf>
      <font>
        <color theme="1"/>
      </font>
      <fill>
        <patternFill>
          <bgColor theme="7" tint="0.39994506668294322"/>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color theme="0" tint="-0.249977111117893"/>
      </font>
      <fill>
        <patternFill patternType="solid">
          <fgColor indexed="64"/>
          <bgColor theme="0" tint="-0.249977111117893"/>
        </patternFill>
      </fill>
    </dxf>
    <dxf>
      <font>
        <strike val="0"/>
        <color theme="0" tint="-0.14996795556505021"/>
      </font>
      <fill>
        <patternFill>
          <bgColor theme="0" tint="-0.14996795556505021"/>
        </patternFill>
      </fill>
    </dxf>
    <dxf>
      <font>
        <color theme="9"/>
      </font>
    </dxf>
    <dxf>
      <font>
        <color rgb="FFFF0000"/>
      </font>
      <fill>
        <patternFill>
          <bgColor rgb="FFFF0000"/>
        </patternFill>
      </fill>
    </dxf>
    <dxf>
      <font>
        <color theme="9"/>
      </font>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Rezultati!$E$3</c:f>
          <c:strCache>
            <c:ptCount val="1"/>
            <c:pt idx="0">
              <c:v>MHE NAZIV</c:v>
            </c:pt>
          </c:strCache>
        </c:strRef>
      </c:tx>
      <c:overlay val="0"/>
      <c:txPr>
        <a:bodyPr/>
        <a:lstStyle/>
        <a:p>
          <a:pPr>
            <a:defRPr sz="1800"/>
          </a:pPr>
          <a:endParaRPr lang="en-US"/>
        </a:p>
      </c:txPr>
    </c:title>
    <c:autoTitleDeleted val="0"/>
    <c:plotArea>
      <c:layout>
        <c:manualLayout>
          <c:layoutTarget val="inner"/>
          <c:xMode val="edge"/>
          <c:yMode val="edge"/>
          <c:x val="5.0505498521545567E-2"/>
          <c:y val="0.15444292517327551"/>
          <c:w val="0.87162480481079108"/>
          <c:h val="0.8246510129347604"/>
        </c:manualLayout>
      </c:layout>
      <c:radarChart>
        <c:radarStyle val="filled"/>
        <c:varyColors val="0"/>
        <c:ser>
          <c:idx val="7"/>
          <c:order val="0"/>
          <c:tx>
            <c:strRef>
              <c:f>Rezultati!$K$18</c:f>
              <c:strCache>
                <c:ptCount val="1"/>
                <c:pt idx="0">
                  <c:v>Zeleno</c:v>
                </c:pt>
              </c:strCache>
            </c:strRef>
          </c:tx>
          <c:spPr>
            <a:solidFill>
              <a:schemeClr val="accent6">
                <a:lumMod val="40000"/>
                <a:lumOff val="60000"/>
              </a:schemeClr>
            </a:solidFill>
            <a:ln w="25400">
              <a:no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Rezultati!$K$19:$K$23</c:f>
              <c:numCache>
                <c:formatCode>General</c:formatCode>
                <c:ptCount val="5"/>
                <c:pt idx="0">
                  <c:v>5</c:v>
                </c:pt>
                <c:pt idx="1">
                  <c:v>5</c:v>
                </c:pt>
                <c:pt idx="2">
                  <c:v>5</c:v>
                </c:pt>
                <c:pt idx="3">
                  <c:v>5</c:v>
                </c:pt>
                <c:pt idx="4">
                  <c:v>5</c:v>
                </c:pt>
              </c:numCache>
            </c:numRef>
          </c:val>
          <c:extLst>
            <c:ext xmlns:c16="http://schemas.microsoft.com/office/drawing/2014/chart" uri="{C3380CC4-5D6E-409C-BE32-E72D297353CC}">
              <c16:uniqueId val="{00000000-70AB-4A46-B57C-B167D09CE739}"/>
            </c:ext>
          </c:extLst>
        </c:ser>
        <c:ser>
          <c:idx val="8"/>
          <c:order val="1"/>
          <c:tx>
            <c:strRef>
              <c:f>Rezultati!$L$18</c:f>
              <c:strCache>
                <c:ptCount val="1"/>
                <c:pt idx="0">
                  <c:v>Narandžasto</c:v>
                </c:pt>
              </c:strCache>
            </c:strRef>
          </c:tx>
          <c:spPr>
            <a:solidFill>
              <a:srgbClr val="FFC000"/>
            </a:solidFill>
            <a:ln w="25400">
              <a:no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Rezultati!$L$19:$L$23</c:f>
              <c:numCache>
                <c:formatCode>General</c:formatCode>
                <c:ptCount val="5"/>
                <c:pt idx="0">
                  <c:v>3.34</c:v>
                </c:pt>
                <c:pt idx="1">
                  <c:v>3.34</c:v>
                </c:pt>
                <c:pt idx="2">
                  <c:v>3.34</c:v>
                </c:pt>
                <c:pt idx="3">
                  <c:v>3.34</c:v>
                </c:pt>
                <c:pt idx="4">
                  <c:v>3.34</c:v>
                </c:pt>
              </c:numCache>
            </c:numRef>
          </c:val>
          <c:extLst>
            <c:ext xmlns:c16="http://schemas.microsoft.com/office/drawing/2014/chart" uri="{C3380CC4-5D6E-409C-BE32-E72D297353CC}">
              <c16:uniqueId val="{00000001-70AB-4A46-B57C-B167D09CE739}"/>
            </c:ext>
          </c:extLst>
        </c:ser>
        <c:ser>
          <c:idx val="9"/>
          <c:order val="2"/>
          <c:tx>
            <c:strRef>
              <c:f>Rezultati!$M$18</c:f>
              <c:strCache>
                <c:ptCount val="1"/>
                <c:pt idx="0">
                  <c:v>Crveno</c:v>
                </c:pt>
              </c:strCache>
            </c:strRef>
          </c:tx>
          <c:spPr>
            <a:solidFill>
              <a:srgbClr val="FF0000">
                <a:alpha val="81000"/>
              </a:srgbClr>
            </a:solidFill>
            <a:ln w="25400">
              <a:no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Rezultati!$M$19:$M$23</c:f>
              <c:numCache>
                <c:formatCode>General</c:formatCode>
                <c:ptCount val="5"/>
                <c:pt idx="0">
                  <c:v>1.67</c:v>
                </c:pt>
                <c:pt idx="1">
                  <c:v>1.67</c:v>
                </c:pt>
                <c:pt idx="2">
                  <c:v>1.67</c:v>
                </c:pt>
                <c:pt idx="3">
                  <c:v>1.67</c:v>
                </c:pt>
                <c:pt idx="4">
                  <c:v>1.67</c:v>
                </c:pt>
              </c:numCache>
            </c:numRef>
          </c:val>
          <c:extLst>
            <c:ext xmlns:c16="http://schemas.microsoft.com/office/drawing/2014/chart" uri="{C3380CC4-5D6E-409C-BE32-E72D297353CC}">
              <c16:uniqueId val="{00000002-70AB-4A46-B57C-B167D09CE739}"/>
            </c:ext>
          </c:extLst>
        </c:ser>
        <c:ser>
          <c:idx val="6"/>
          <c:order val="3"/>
          <c:tx>
            <c:v>dummy</c:v>
          </c:tx>
          <c:spPr>
            <a:noFill/>
            <a:ln w="25400">
              <a:no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Rezultati!$R$19:$R$23</c:f>
              <c:numCache>
                <c:formatCode>0</c:formatCode>
                <c:ptCount val="5"/>
                <c:pt idx="0">
                  <c:v>5</c:v>
                </c:pt>
                <c:pt idx="1">
                  <c:v>5</c:v>
                </c:pt>
                <c:pt idx="2">
                  <c:v>5</c:v>
                </c:pt>
                <c:pt idx="3">
                  <c:v>5</c:v>
                </c:pt>
                <c:pt idx="4">
                  <c:v>5</c:v>
                </c:pt>
              </c:numCache>
            </c:numRef>
          </c:val>
          <c:extLst>
            <c:ext xmlns:c16="http://schemas.microsoft.com/office/drawing/2014/chart" uri="{C3380CC4-5D6E-409C-BE32-E72D297353CC}">
              <c16:uniqueId val="{00000003-70AB-4A46-B57C-B167D09CE739}"/>
            </c:ext>
          </c:extLst>
        </c:ser>
        <c:ser>
          <c:idx val="0"/>
          <c:order val="4"/>
          <c:tx>
            <c:strRef>
              <c:f>Rezultati!$J$17</c:f>
              <c:strCache>
                <c:ptCount val="1"/>
                <c:pt idx="0">
                  <c:v>Rezultat</c:v>
                </c:pt>
              </c:strCache>
            </c:strRef>
          </c:tx>
          <c:spPr>
            <a:noFill/>
            <a:ln w="38100">
              <a:solidFill>
                <a:schemeClr val="tx1"/>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Rezultati!$J$19:$J$23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4-70AB-4A46-B57C-B167D09CE739}"/>
            </c:ext>
          </c:extLst>
        </c:ser>
        <c:ser>
          <c:idx val="5"/>
          <c:order val="5"/>
          <c:tx>
            <c:strRef>
              <c:f>Rezultati!$R$18</c:f>
              <c:strCache>
                <c:ptCount val="1"/>
                <c:pt idx="0">
                  <c:v>5</c:v>
                </c:pt>
              </c:strCache>
            </c:strRef>
          </c:tx>
          <c:spPr>
            <a:noFill/>
            <a:ln>
              <a:solidFill>
                <a:schemeClr val="accent3"/>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Rezultati!$R$19:$R$23</c:f>
              <c:numCache>
                <c:formatCode>0</c:formatCode>
                <c:ptCount val="5"/>
                <c:pt idx="0">
                  <c:v>5</c:v>
                </c:pt>
                <c:pt idx="1">
                  <c:v>5</c:v>
                </c:pt>
                <c:pt idx="2">
                  <c:v>5</c:v>
                </c:pt>
                <c:pt idx="3">
                  <c:v>5</c:v>
                </c:pt>
                <c:pt idx="4">
                  <c:v>5</c:v>
                </c:pt>
              </c:numCache>
            </c:numRef>
          </c:val>
          <c:extLst>
            <c:ext xmlns:c16="http://schemas.microsoft.com/office/drawing/2014/chart" uri="{C3380CC4-5D6E-409C-BE32-E72D297353CC}">
              <c16:uniqueId val="{00000005-70AB-4A46-B57C-B167D09CE739}"/>
            </c:ext>
          </c:extLst>
        </c:ser>
        <c:ser>
          <c:idx val="4"/>
          <c:order val="6"/>
          <c:tx>
            <c:strRef>
              <c:f>Rezultati!$Q$18</c:f>
              <c:strCache>
                <c:ptCount val="1"/>
                <c:pt idx="0">
                  <c:v>4</c:v>
                </c:pt>
              </c:strCache>
            </c:strRef>
          </c:tx>
          <c:spPr>
            <a:noFill/>
            <a:ln>
              <a:solidFill>
                <a:schemeClr val="accent3"/>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Rezultati!$Q$19:$Q$23</c:f>
              <c:numCache>
                <c:formatCode>0</c:formatCode>
                <c:ptCount val="5"/>
                <c:pt idx="0">
                  <c:v>4</c:v>
                </c:pt>
                <c:pt idx="1">
                  <c:v>4</c:v>
                </c:pt>
                <c:pt idx="2">
                  <c:v>4</c:v>
                </c:pt>
                <c:pt idx="3">
                  <c:v>4</c:v>
                </c:pt>
                <c:pt idx="4">
                  <c:v>4</c:v>
                </c:pt>
              </c:numCache>
            </c:numRef>
          </c:val>
          <c:extLst>
            <c:ext xmlns:c16="http://schemas.microsoft.com/office/drawing/2014/chart" uri="{C3380CC4-5D6E-409C-BE32-E72D297353CC}">
              <c16:uniqueId val="{00000006-70AB-4A46-B57C-B167D09CE739}"/>
            </c:ext>
          </c:extLst>
        </c:ser>
        <c:ser>
          <c:idx val="3"/>
          <c:order val="7"/>
          <c:tx>
            <c:strRef>
              <c:f>Rezultati!$P$18</c:f>
              <c:strCache>
                <c:ptCount val="1"/>
                <c:pt idx="0">
                  <c:v>3</c:v>
                </c:pt>
              </c:strCache>
            </c:strRef>
          </c:tx>
          <c:spPr>
            <a:noFill/>
            <a:ln>
              <a:solidFill>
                <a:schemeClr val="accent3"/>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Rezultati!$P$19:$P$23</c:f>
              <c:numCache>
                <c:formatCode>0</c:formatCode>
                <c:ptCount val="5"/>
                <c:pt idx="0">
                  <c:v>3</c:v>
                </c:pt>
                <c:pt idx="1">
                  <c:v>3</c:v>
                </c:pt>
                <c:pt idx="2">
                  <c:v>3</c:v>
                </c:pt>
                <c:pt idx="3">
                  <c:v>3</c:v>
                </c:pt>
                <c:pt idx="4">
                  <c:v>3</c:v>
                </c:pt>
              </c:numCache>
            </c:numRef>
          </c:val>
          <c:extLst>
            <c:ext xmlns:c16="http://schemas.microsoft.com/office/drawing/2014/chart" uri="{C3380CC4-5D6E-409C-BE32-E72D297353CC}">
              <c16:uniqueId val="{00000007-70AB-4A46-B57C-B167D09CE739}"/>
            </c:ext>
          </c:extLst>
        </c:ser>
        <c:ser>
          <c:idx val="2"/>
          <c:order val="8"/>
          <c:tx>
            <c:strRef>
              <c:f>Rezultati!$O$18</c:f>
              <c:strCache>
                <c:ptCount val="1"/>
                <c:pt idx="0">
                  <c:v>2</c:v>
                </c:pt>
              </c:strCache>
            </c:strRef>
          </c:tx>
          <c:spPr>
            <a:noFill/>
            <a:ln>
              <a:solidFill>
                <a:schemeClr val="accent3"/>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Rezultati!$O$19:$O$23</c:f>
              <c:numCache>
                <c:formatCode>0</c:formatCode>
                <c:ptCount val="5"/>
                <c:pt idx="0">
                  <c:v>2</c:v>
                </c:pt>
                <c:pt idx="1">
                  <c:v>2</c:v>
                </c:pt>
                <c:pt idx="2">
                  <c:v>2</c:v>
                </c:pt>
                <c:pt idx="3">
                  <c:v>2</c:v>
                </c:pt>
                <c:pt idx="4">
                  <c:v>2</c:v>
                </c:pt>
              </c:numCache>
            </c:numRef>
          </c:val>
          <c:extLst>
            <c:ext xmlns:c16="http://schemas.microsoft.com/office/drawing/2014/chart" uri="{C3380CC4-5D6E-409C-BE32-E72D297353CC}">
              <c16:uniqueId val="{00000008-70AB-4A46-B57C-B167D09CE739}"/>
            </c:ext>
          </c:extLst>
        </c:ser>
        <c:ser>
          <c:idx val="1"/>
          <c:order val="9"/>
          <c:tx>
            <c:strRef>
              <c:f>Rezultati!$N$18</c:f>
              <c:strCache>
                <c:ptCount val="1"/>
                <c:pt idx="0">
                  <c:v>1</c:v>
                </c:pt>
              </c:strCache>
            </c:strRef>
          </c:tx>
          <c:spPr>
            <a:noFill/>
            <a:ln>
              <a:solidFill>
                <a:schemeClr val="accent3"/>
              </a:solidFill>
            </a:ln>
          </c:spPr>
          <c:cat>
            <c:strRef>
              <c:f>Rezultati!$I$19:$I$23</c:f>
              <c:strCache>
                <c:ptCount val="5"/>
                <c:pt idx="0">
                  <c:v>Energetika</c:v>
                </c:pt>
                <c:pt idx="1">
                  <c:v>Upravljanje vodama</c:v>
                </c:pt>
                <c:pt idx="2">
                  <c:v>Prostorno planiranje</c:v>
                </c:pt>
                <c:pt idx="3">
                  <c:v>Ekologija voda</c:v>
                </c:pt>
                <c:pt idx="4">
                  <c:v>Zaštita prirode</c:v>
                </c:pt>
              </c:strCache>
            </c:strRef>
          </c:cat>
          <c:val>
            <c:numRef>
              <c:f>Rezultati!$N$19:$N$23</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9-70AB-4A46-B57C-B167D09CE739}"/>
            </c:ext>
          </c:extLst>
        </c:ser>
        <c:ser>
          <c:idx val="10"/>
          <c:order val="10"/>
          <c:tx>
            <c:v>leer</c:v>
          </c:tx>
          <c:spPr>
            <a:noFill/>
            <a:ln>
              <a:noFill/>
            </a:ln>
          </c:spPr>
          <c:dLbls>
            <c:spPr>
              <a:noFill/>
              <a:ln w="25400">
                <a:noFill/>
              </a:ln>
            </c:spPr>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cat>
            <c:strRef>
              <c:f>Rezultati!$I$19:$I$23</c:f>
              <c:strCache>
                <c:ptCount val="5"/>
                <c:pt idx="0">
                  <c:v>Energetika</c:v>
                </c:pt>
                <c:pt idx="1">
                  <c:v>Upravljanje vodama</c:v>
                </c:pt>
                <c:pt idx="2">
                  <c:v>Prostorno planiranje</c:v>
                </c:pt>
                <c:pt idx="3">
                  <c:v>Ekologija voda</c:v>
                </c:pt>
                <c:pt idx="4">
                  <c:v>Zaštita prirode</c:v>
                </c:pt>
              </c:strCache>
            </c:strRef>
          </c:cat>
          <c:val>
            <c:numRef>
              <c:f>Rezultati!$S$19:$S$23</c:f>
              <c:numCache>
                <c:formatCode>0</c:formatCode>
                <c:ptCount val="5"/>
                <c:pt idx="0">
                  <c:v>6</c:v>
                </c:pt>
                <c:pt idx="1">
                  <c:v>6</c:v>
                </c:pt>
                <c:pt idx="2">
                  <c:v>6</c:v>
                </c:pt>
                <c:pt idx="3">
                  <c:v>6</c:v>
                </c:pt>
                <c:pt idx="4">
                  <c:v>6</c:v>
                </c:pt>
              </c:numCache>
            </c:numRef>
          </c:val>
          <c:extLst>
            <c:ext xmlns:c16="http://schemas.microsoft.com/office/drawing/2014/chart" uri="{C3380CC4-5D6E-409C-BE32-E72D297353CC}">
              <c16:uniqueId val="{0000000A-70AB-4A46-B57C-B167D09CE739}"/>
            </c:ext>
          </c:extLst>
        </c:ser>
        <c:dLbls>
          <c:showLegendKey val="0"/>
          <c:showVal val="0"/>
          <c:showCatName val="0"/>
          <c:showSerName val="0"/>
          <c:showPercent val="0"/>
          <c:showBubbleSize val="0"/>
        </c:dLbls>
        <c:axId val="2033261007"/>
        <c:axId val="1"/>
      </c:radarChart>
      <c:catAx>
        <c:axId val="2033261007"/>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one"/>
        <c:txPr>
          <a:bodyPr rot="0" vert="horz"/>
          <a:lstStyle/>
          <a:p>
            <a:pPr>
              <a:defRPr sz="1400" b="1"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5.9"/>
          <c:min val="0"/>
        </c:scaling>
        <c:delete val="0"/>
        <c:axPos val="l"/>
        <c:numFmt formatCode="General" sourceLinked="1"/>
        <c:majorTickMark val="none"/>
        <c:minorTickMark val="none"/>
        <c:tickLblPos val="nextTo"/>
        <c:spPr>
          <a:ln w="3175">
            <a:solidFill>
              <a:srgbClr val="808080"/>
            </a:solidFill>
            <a:prstDash val="solid"/>
          </a:ln>
        </c:spPr>
        <c:txPr>
          <a:bodyPr/>
          <a:lstStyle/>
          <a:p>
            <a:pPr>
              <a:defRPr b="0"/>
            </a:pPr>
            <a:endParaRPr lang="en-US"/>
          </a:p>
        </c:txPr>
        <c:crossAx val="2033261007"/>
        <c:crosses val="autoZero"/>
        <c:crossBetween val="between"/>
        <c:majorUnit val="1"/>
      </c:valAx>
      <c:spPr>
        <a:noFill/>
        <a:ln w="25400">
          <a:noFill/>
        </a:ln>
      </c:spPr>
    </c:plotArea>
    <c:plotVisOnly val="1"/>
    <c:dispBlanksAs val="gap"/>
    <c:showDLblsOverMax val="0"/>
  </c:chart>
  <c:spPr>
    <a:solidFill>
      <a:schemeClr val="bg1">
        <a:lumMod val="85000"/>
      </a:schemeClr>
    </a:solidFill>
    <a:ln w="19050">
      <a:solidFill>
        <a:schemeClr val="tx1"/>
      </a:solidFill>
      <a:prstDash val="solid"/>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0.78740157499999996" l="0.70000000000000029" r="0.70000000000000029" t="0.78740157499999996" header="0.30000000000000016" footer="0.3000000000000001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12700</xdr:colOff>
      <xdr:row>15</xdr:row>
      <xdr:rowOff>0</xdr:rowOff>
    </xdr:from>
    <xdr:to>
      <xdr:col>6</xdr:col>
      <xdr:colOff>12700</xdr:colOff>
      <xdr:row>48</xdr:row>
      <xdr:rowOff>127000</xdr:rowOff>
    </xdr:to>
    <xdr:graphicFrame macro="">
      <xdr:nvGraphicFramePr>
        <xdr:cNvPr id="71681" name="Diagramm 1">
          <a:extLst>
            <a:ext uri="{FF2B5EF4-FFF2-40B4-BE49-F238E27FC236}">
              <a16:creationId xmlns:a16="http://schemas.microsoft.com/office/drawing/2014/main" id="{86E640E9-6C3C-CC48-94F0-1B5DDD7DA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0.8428</cdr:x>
      <cdr:y>0.20851</cdr:y>
    </cdr:from>
    <cdr:to>
      <cdr:x>0.99924</cdr:x>
      <cdr:y>0.3309</cdr:y>
    </cdr:to>
    <cdr:sp macro="" textlink="">
      <cdr:nvSpPr>
        <cdr:cNvPr id="2" name="Textfeld 1"/>
        <cdr:cNvSpPr txBox="1"/>
      </cdr:nvSpPr>
      <cdr:spPr>
        <a:xfrm xmlns:a="http://schemas.openxmlformats.org/drawingml/2006/main">
          <a:off x="8368393" y="6425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0.37855</cdr:x>
      <cdr:y>0.11167</cdr:y>
    </cdr:from>
    <cdr:to>
      <cdr:x>0.59481</cdr:x>
      <cdr:y>0.17764</cdr:y>
    </cdr:to>
    <cdr:sp macro="" textlink="Rezultati!$C$8">
      <cdr:nvSpPr>
        <cdr:cNvPr id="3" name="Textfeld 2">
          <a:extLst xmlns:a="http://schemas.openxmlformats.org/drawingml/2006/main">
            <a:ext uri="{FF2B5EF4-FFF2-40B4-BE49-F238E27FC236}">
              <a16:creationId xmlns:a16="http://schemas.microsoft.com/office/drawing/2014/main" id="{7BB64E7A-79D7-264B-A288-4339CE6DE363}"/>
            </a:ext>
          </a:extLst>
        </cdr:cNvPr>
        <cdr:cNvSpPr txBox="1"/>
      </cdr:nvSpPr>
      <cdr:spPr>
        <a:xfrm xmlns:a="http://schemas.openxmlformats.org/drawingml/2006/main">
          <a:off x="2278814" y="710499"/>
          <a:ext cx="1301843" cy="419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E100E8F-4DC9-6546-BB9A-6B7DECAB5E92}" type="TxLink">
            <a:rPr lang="en-US" sz="1000" b="1" i="0" u="none" strike="noStrike">
              <a:solidFill>
                <a:srgbClr val="000000"/>
              </a:solidFill>
              <a:latin typeface="Arial"/>
              <a:cs typeface="Arial"/>
            </a:rPr>
            <a:pPr algn="ctr"/>
            <a:t>Energetika</a:t>
          </a:fld>
          <a:endParaRPr lang="de-DE" sz="1000"/>
        </a:p>
      </cdr:txBody>
    </cdr:sp>
  </cdr:relSizeAnchor>
  <cdr:relSizeAnchor xmlns:cdr="http://schemas.openxmlformats.org/drawingml/2006/chartDrawing">
    <cdr:from>
      <cdr:x>0.13713</cdr:x>
      <cdr:y>0.90296</cdr:y>
    </cdr:from>
    <cdr:to>
      <cdr:x>0.31315</cdr:x>
      <cdr:y>0.9481</cdr:y>
    </cdr:to>
    <cdr:sp macro="" textlink="Rezultati!$C$11">
      <cdr:nvSpPr>
        <cdr:cNvPr id="6" name="Textfeld 1">
          <a:extLst xmlns:a="http://schemas.openxmlformats.org/drawingml/2006/main">
            <a:ext uri="{FF2B5EF4-FFF2-40B4-BE49-F238E27FC236}">
              <a16:creationId xmlns:a16="http://schemas.microsoft.com/office/drawing/2014/main" id="{C51EB565-6AE3-AC45-94CE-A2754BE23329}"/>
            </a:ext>
          </a:extLst>
        </cdr:cNvPr>
        <cdr:cNvSpPr txBox="1"/>
      </cdr:nvSpPr>
      <cdr:spPr>
        <a:xfrm xmlns:a="http://schemas.openxmlformats.org/drawingml/2006/main">
          <a:off x="825500" y="5745236"/>
          <a:ext cx="1059614" cy="2872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6C61D31-5494-5646-A55B-E03F6632C41C}" type="TxLink">
            <a:rPr lang="en-US" sz="1000" b="1" i="0" u="none" strike="noStrike">
              <a:solidFill>
                <a:srgbClr val="000000"/>
              </a:solidFill>
              <a:latin typeface="Arial"/>
              <a:cs typeface="Arial"/>
            </a:rPr>
            <a:pPr algn="ctr"/>
            <a:t>Ekologija voda</a:t>
          </a:fld>
          <a:endParaRPr lang="de-DE" sz="1000"/>
        </a:p>
      </cdr:txBody>
    </cdr:sp>
  </cdr:relSizeAnchor>
  <cdr:relSizeAnchor xmlns:cdr="http://schemas.openxmlformats.org/drawingml/2006/chartDrawing">
    <cdr:from>
      <cdr:x>0.64448</cdr:x>
      <cdr:y>0.89675</cdr:y>
    </cdr:from>
    <cdr:to>
      <cdr:x>0.82489</cdr:x>
      <cdr:y>0.94212</cdr:y>
    </cdr:to>
    <cdr:sp macro="" textlink="Rezultati!$C$10">
      <cdr:nvSpPr>
        <cdr:cNvPr id="7" name="Textfeld 1">
          <a:extLst xmlns:a="http://schemas.openxmlformats.org/drawingml/2006/main">
            <a:ext uri="{FF2B5EF4-FFF2-40B4-BE49-F238E27FC236}">
              <a16:creationId xmlns:a16="http://schemas.microsoft.com/office/drawing/2014/main" id="{C51EB565-6AE3-AC45-94CE-A2754BE23329}"/>
            </a:ext>
          </a:extLst>
        </cdr:cNvPr>
        <cdr:cNvSpPr txBox="1"/>
      </cdr:nvSpPr>
      <cdr:spPr>
        <a:xfrm xmlns:a="http://schemas.openxmlformats.org/drawingml/2006/main">
          <a:off x="3879633" y="5705757"/>
          <a:ext cx="1086067" cy="2886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0D1E657-6AD9-2E4D-B972-230FBEDD359F}" type="TxLink">
            <a:rPr lang="en-US" sz="1000" b="1" i="0" u="none" strike="noStrike">
              <a:solidFill>
                <a:srgbClr val="000000"/>
              </a:solidFill>
              <a:latin typeface="Arial"/>
              <a:cs typeface="Arial"/>
            </a:rPr>
            <a:pPr algn="ctr"/>
            <a:t>Prostorno uređenje</a:t>
          </a:fld>
          <a:r>
            <a:rPr lang="en-US" sz="1000" b="1" i="0" u="none" strike="noStrike">
              <a:solidFill>
                <a:srgbClr val="000000"/>
              </a:solidFill>
              <a:latin typeface="Arial"/>
              <a:cs typeface="Arial"/>
            </a:rPr>
            <a:t>*</a:t>
          </a:r>
          <a:endParaRPr lang="de-DE" sz="1000"/>
        </a:p>
      </cdr:txBody>
    </cdr:sp>
  </cdr:relSizeAnchor>
  <cdr:relSizeAnchor xmlns:cdr="http://schemas.openxmlformats.org/drawingml/2006/chartDrawing">
    <cdr:from>
      <cdr:x>0</cdr:x>
      <cdr:y>0.36837</cdr:y>
    </cdr:from>
    <cdr:to>
      <cdr:x>0.18188</cdr:x>
      <cdr:y>0.41717</cdr:y>
    </cdr:to>
    <cdr:sp macro="" textlink="Rezultati!$C$12">
      <cdr:nvSpPr>
        <cdr:cNvPr id="8" name="Textfeld 1">
          <a:extLst xmlns:a="http://schemas.openxmlformats.org/drawingml/2006/main">
            <a:ext uri="{FF2B5EF4-FFF2-40B4-BE49-F238E27FC236}">
              <a16:creationId xmlns:a16="http://schemas.microsoft.com/office/drawing/2014/main" id="{C51EB565-6AE3-AC45-94CE-A2754BE23329}"/>
            </a:ext>
          </a:extLst>
        </cdr:cNvPr>
        <cdr:cNvSpPr txBox="1"/>
      </cdr:nvSpPr>
      <cdr:spPr>
        <a:xfrm xmlns:a="http://schemas.openxmlformats.org/drawingml/2006/main">
          <a:off x="0" y="2343850"/>
          <a:ext cx="1094864" cy="310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6F64360-255B-FB43-9725-B4FEFB0B1005}" type="TxLink">
            <a:rPr lang="en-US" sz="1000" b="1" i="0" u="none" strike="noStrike">
              <a:solidFill>
                <a:srgbClr val="000000"/>
              </a:solidFill>
              <a:latin typeface="Arial"/>
              <a:cs typeface="Arial"/>
            </a:rPr>
            <a:pPr algn="ctr"/>
            <a:t>Zaštita prirode</a:t>
          </a:fld>
          <a:endParaRPr lang="de-DE" sz="1000"/>
        </a:p>
      </cdr:txBody>
    </cdr:sp>
  </cdr:relSizeAnchor>
  <cdr:relSizeAnchor xmlns:cdr="http://schemas.openxmlformats.org/drawingml/2006/chartDrawing">
    <cdr:from>
      <cdr:x>0.78374</cdr:x>
      <cdr:y>0.37614</cdr:y>
    </cdr:from>
    <cdr:to>
      <cdr:x>1</cdr:x>
      <cdr:y>0.41885</cdr:y>
    </cdr:to>
    <cdr:sp macro="" textlink="Rezultati!$C$9">
      <cdr:nvSpPr>
        <cdr:cNvPr id="9" name="Textfeld 1">
          <a:extLst xmlns:a="http://schemas.openxmlformats.org/drawingml/2006/main">
            <a:ext uri="{FF2B5EF4-FFF2-40B4-BE49-F238E27FC236}">
              <a16:creationId xmlns:a16="http://schemas.microsoft.com/office/drawing/2014/main" id="{C51EB565-6AE3-AC45-94CE-A2754BE23329}"/>
            </a:ext>
          </a:extLst>
        </cdr:cNvPr>
        <cdr:cNvSpPr txBox="1"/>
      </cdr:nvSpPr>
      <cdr:spPr>
        <a:xfrm xmlns:a="http://schemas.openxmlformats.org/drawingml/2006/main">
          <a:off x="4717957" y="2393272"/>
          <a:ext cx="1301843" cy="271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751F147-379E-784F-9E1A-0ACE5B8098BA}" type="TxLink">
            <a:rPr lang="en-US" sz="1000" b="1" i="0" u="none" strike="noStrike">
              <a:solidFill>
                <a:srgbClr val="000000"/>
              </a:solidFill>
              <a:latin typeface="Arial"/>
              <a:cs typeface="Arial"/>
            </a:rPr>
            <a:pPr algn="ctr"/>
            <a:t>Upravljanje vodama</a:t>
          </a:fld>
          <a:endParaRPr lang="de-DE" sz="1000"/>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231321</xdr:colOff>
      <xdr:row>7</xdr:row>
      <xdr:rowOff>208643</xdr:rowOff>
    </xdr:from>
    <xdr:to>
      <xdr:col>12</xdr:col>
      <xdr:colOff>22679</xdr:colOff>
      <xdr:row>20</xdr:row>
      <xdr:rowOff>408217</xdr:rowOff>
    </xdr:to>
    <xdr:sp macro="" textlink="">
      <xdr:nvSpPr>
        <xdr:cNvPr id="2" name="Dreieck 1">
          <a:extLst>
            <a:ext uri="{FF2B5EF4-FFF2-40B4-BE49-F238E27FC236}">
              <a16:creationId xmlns:a16="http://schemas.microsoft.com/office/drawing/2014/main" id="{4200FE58-DF3A-7542-92EF-786C872ADBCF}"/>
            </a:ext>
          </a:extLst>
        </xdr:cNvPr>
        <xdr:cNvSpPr/>
      </xdr:nvSpPr>
      <xdr:spPr>
        <a:xfrm rot="5400000">
          <a:off x="10341427" y="3342823"/>
          <a:ext cx="3800931" cy="616858"/>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40"/>
  <sheetViews>
    <sheetView showGridLines="0" workbookViewId="0">
      <selection activeCell="O19" sqref="O19"/>
    </sheetView>
  </sheetViews>
  <sheetFormatPr defaultColWidth="10.875" defaultRowHeight="15" x14ac:dyDescent="0.2"/>
  <cols>
    <col min="1" max="16384" width="10.875" style="80"/>
  </cols>
  <sheetData>
    <row r="8" spans="2:2" ht="23.25" x14ac:dyDescent="0.35">
      <c r="B8" s="509" t="s">
        <v>67</v>
      </c>
    </row>
    <row r="11" spans="2:2" ht="18" x14ac:dyDescent="0.25">
      <c r="B11" s="510" t="s">
        <v>68</v>
      </c>
    </row>
    <row r="25" spans="2:6" ht="15.75" x14ac:dyDescent="0.25">
      <c r="B25" s="530" t="s">
        <v>69</v>
      </c>
    </row>
    <row r="26" spans="2:6" ht="15.75" thickBot="1" x14ac:dyDescent="0.25"/>
    <row r="27" spans="2:6" ht="33.950000000000003" customHeight="1" thickBot="1" x14ac:dyDescent="0.25">
      <c r="B27" s="528" t="s">
        <v>70</v>
      </c>
      <c r="C27" s="524"/>
      <c r="D27" s="524"/>
      <c r="E27" s="524"/>
      <c r="F27" s="525"/>
    </row>
    <row r="28" spans="2:6" ht="15.75" thickBot="1" x14ac:dyDescent="0.25"/>
    <row r="29" spans="2:6" ht="33.950000000000003" customHeight="1" thickBot="1" x14ac:dyDescent="0.25">
      <c r="B29" s="529" t="s">
        <v>71</v>
      </c>
      <c r="C29" s="526"/>
      <c r="D29" s="526"/>
      <c r="E29" s="526"/>
      <c r="F29" s="527"/>
    </row>
    <row r="40" spans="7:7" ht="15.75" x14ac:dyDescent="0.25">
      <c r="G40"/>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 style="80" customWidth="1"/>
    <col min="5" max="5" width="3.875" style="80" customWidth="1"/>
    <col min="6" max="7" width="10.875" style="80"/>
    <col min="8" max="8" width="10.875" style="80" customWidth="1"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33</v>
      </c>
    </row>
    <row r="3" spans="1:8" ht="17.100000000000001" customHeight="1" x14ac:dyDescent="0.25">
      <c r="A3" s="1"/>
      <c r="B3" s="7"/>
      <c r="C3" s="731" t="s">
        <v>186</v>
      </c>
      <c r="D3" s="731"/>
      <c r="E3" s="30"/>
      <c r="H3" s="80">
        <v>0</v>
      </c>
    </row>
    <row r="4" spans="1:8" ht="17.100000000000001" customHeight="1" thickBot="1" x14ac:dyDescent="0.3">
      <c r="A4" s="1"/>
      <c r="B4" s="31"/>
      <c r="C4" s="32"/>
      <c r="D4" s="32"/>
      <c r="E4" s="23"/>
      <c r="H4" s="80">
        <v>1</v>
      </c>
    </row>
    <row r="5" spans="1:8" ht="17.100000000000001" customHeight="1" thickBot="1" x14ac:dyDescent="0.3">
      <c r="A5" s="1"/>
      <c r="B5" s="1"/>
      <c r="C5" s="26"/>
      <c r="D5" s="26"/>
      <c r="E5" s="1"/>
      <c r="H5" s="80">
        <v>2</v>
      </c>
    </row>
    <row r="6" spans="1:8" ht="17.100000000000001" customHeight="1" thickBot="1" x14ac:dyDescent="0.3">
      <c r="A6" s="1"/>
      <c r="B6" s="6"/>
      <c r="C6" s="10"/>
      <c r="D6" s="11"/>
      <c r="E6" s="20"/>
      <c r="H6" s="80">
        <v>3</v>
      </c>
    </row>
    <row r="7" spans="1:8" ht="17.100000000000001" customHeight="1" thickBot="1" x14ac:dyDescent="0.3">
      <c r="A7" s="2"/>
      <c r="B7" s="8"/>
      <c r="C7" s="111" t="s">
        <v>116</v>
      </c>
      <c r="D7" s="113" t="s">
        <v>188</v>
      </c>
      <c r="E7" s="22"/>
      <c r="H7" s="80">
        <v>4</v>
      </c>
    </row>
    <row r="8" spans="1:8" ht="33.950000000000003" customHeight="1" thickBot="1" x14ac:dyDescent="0.3">
      <c r="A8" s="1"/>
      <c r="B8" s="7"/>
      <c r="C8" s="115">
        <v>0</v>
      </c>
      <c r="D8" s="116" t="s">
        <v>194</v>
      </c>
      <c r="E8" s="21"/>
      <c r="H8" s="80">
        <v>5</v>
      </c>
    </row>
    <row r="9" spans="1:8" ht="33.950000000000003" customHeight="1" thickBot="1" x14ac:dyDescent="0.3">
      <c r="A9" s="1"/>
      <c r="B9" s="7"/>
      <c r="C9" s="115">
        <v>1</v>
      </c>
      <c r="D9" s="116" t="s">
        <v>195</v>
      </c>
      <c r="E9" s="21"/>
      <c r="H9" s="80" t="s">
        <v>118</v>
      </c>
    </row>
    <row r="10" spans="1:8" ht="33.950000000000003" customHeight="1" thickBot="1" x14ac:dyDescent="0.3">
      <c r="A10" s="1"/>
      <c r="B10" s="7"/>
      <c r="C10" s="115">
        <v>2</v>
      </c>
      <c r="D10" s="116" t="s">
        <v>196</v>
      </c>
      <c r="E10" s="21"/>
    </row>
    <row r="11" spans="1:8" ht="33.950000000000003" customHeight="1" thickBot="1" x14ac:dyDescent="0.3">
      <c r="A11" s="1"/>
      <c r="B11" s="7"/>
      <c r="C11" s="115">
        <v>3</v>
      </c>
      <c r="D11" s="116" t="s">
        <v>197</v>
      </c>
      <c r="E11" s="21"/>
    </row>
    <row r="12" spans="1:8" ht="33.950000000000003" customHeight="1" thickBot="1" x14ac:dyDescent="0.3">
      <c r="A12" s="1"/>
      <c r="B12" s="7"/>
      <c r="C12" s="115">
        <v>4</v>
      </c>
      <c r="D12" s="116" t="s">
        <v>198</v>
      </c>
      <c r="E12" s="21"/>
    </row>
    <row r="13" spans="1:8" ht="33.950000000000003" customHeight="1" thickBot="1" x14ac:dyDescent="0.3">
      <c r="A13" s="1"/>
      <c r="B13" s="7"/>
      <c r="C13" s="114">
        <v>5</v>
      </c>
      <c r="D13" s="112" t="s">
        <v>199</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21" priority="1">
      <formula>$C$15&lt;&gt;$H$9</formula>
    </cfRule>
  </conditionalFormatting>
  <dataValidations count="1">
    <dataValidation type="list" allowBlank="1" showInputMessage="1" showErrorMessage="1" errorTitle="Wrong value!" error="Only integer values between 0 and 5 allowed." prompt="Izaberite ocjenu" sqref="C15">
      <formula1>$H$3:$H$9</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showGridLines="0" topLeftCell="A19" zoomScaleNormal="100" workbookViewId="0">
      <selection activeCell="O21" sqref="O21"/>
    </sheetView>
  </sheetViews>
  <sheetFormatPr defaultColWidth="11" defaultRowHeight="15.75" outlineLevelCol="1" x14ac:dyDescent="0.25"/>
  <cols>
    <col min="1" max="2" width="3.875" style="80" customWidth="1"/>
    <col min="3" max="3" width="18.125" style="80" customWidth="1"/>
    <col min="4" max="4" width="3.875" style="80" customWidth="1"/>
    <col min="5" max="5" width="19.375" style="80" customWidth="1"/>
    <col min="6" max="6" width="3.875" style="80" customWidth="1"/>
    <col min="7" max="7" width="15.625" style="80" customWidth="1"/>
    <col min="8" max="8" width="3.875" style="80" customWidth="1"/>
    <col min="9" max="9" width="15.625" style="80" customWidth="1"/>
    <col min="10" max="10" width="3.875" style="80" customWidth="1"/>
    <col min="11" max="11" width="9" style="80" customWidth="1"/>
    <col min="12" max="12" width="3.875" style="80" customWidth="1"/>
    <col min="14" max="14" width="7.5" customWidth="1" outlineLevel="1"/>
    <col min="15" max="15" width="13.375" customWidth="1" outlineLevel="1"/>
    <col min="16" max="17" width="7.5" customWidth="1" outlineLevel="1"/>
    <col min="18" max="18" width="3.875" customWidth="1" outlineLevel="1"/>
    <col min="19" max="19" width="7.5" customWidth="1" outlineLevel="1"/>
    <col min="20" max="20" width="13.375" customWidth="1" outlineLevel="1"/>
    <col min="21" max="22" width="7.5" customWidth="1" outlineLevel="1"/>
    <col min="23" max="23" width="3.875" customWidth="1" outlineLevel="1"/>
    <col min="24" max="24" width="7.5" customWidth="1" outlineLevel="1"/>
    <col min="25" max="25" width="13.375" customWidth="1" outlineLevel="1"/>
    <col min="26" max="27" width="7.5" customWidth="1" outlineLevel="1"/>
    <col min="28" max="28" width="3.875" customWidth="1" outlineLevel="1"/>
    <col min="29" max="29" width="7.5" customWidth="1" outlineLevel="1"/>
    <col min="30" max="30" width="13.375" customWidth="1" outlineLevel="1"/>
    <col min="31" max="32" width="7.5" customWidth="1" outlineLevel="1"/>
    <col min="33" max="33" width="3.875" customWidth="1" outlineLevel="1"/>
    <col min="34" max="34" width="8.375" customWidth="1" outlineLevel="1"/>
    <col min="35" max="35" width="10.875" customWidth="1" outlineLevel="1"/>
    <col min="36" max="36" width="8.375" customWidth="1" outlineLevel="1"/>
    <col min="37" max="37" width="10.875" customWidth="1" outlineLevel="1"/>
  </cols>
  <sheetData>
    <row r="1" spans="1:37" ht="16.5" thickBot="1" x14ac:dyDescent="0.3">
      <c r="A1" s="1"/>
      <c r="B1" s="1"/>
      <c r="C1" s="24"/>
      <c r="D1" s="1"/>
      <c r="E1" s="25"/>
      <c r="F1" s="1"/>
      <c r="G1" s="24"/>
      <c r="H1" s="1"/>
      <c r="I1" s="1"/>
      <c r="J1" s="1"/>
    </row>
    <row r="2" spans="1:37" ht="16.5" thickBot="1" x14ac:dyDescent="0.3">
      <c r="A2" s="1"/>
      <c r="B2" s="53"/>
      <c r="C2" s="54"/>
      <c r="D2" s="54"/>
      <c r="E2" s="54"/>
      <c r="F2" s="54"/>
      <c r="G2" s="54"/>
      <c r="H2" s="54"/>
      <c r="I2" s="54"/>
      <c r="J2" s="54"/>
      <c r="K2" s="54"/>
      <c r="L2" s="55"/>
      <c r="N2" s="768" t="s">
        <v>212</v>
      </c>
      <c r="O2" s="769"/>
      <c r="P2" s="769"/>
      <c r="Q2" s="769"/>
      <c r="R2" s="769"/>
      <c r="S2" s="769"/>
      <c r="T2" s="769"/>
      <c r="U2" s="769"/>
      <c r="V2" s="770"/>
      <c r="X2" s="768" t="s">
        <v>215</v>
      </c>
      <c r="Y2" s="769"/>
      <c r="Z2" s="769"/>
      <c r="AA2" s="769"/>
      <c r="AB2" s="769"/>
      <c r="AC2" s="769"/>
      <c r="AD2" s="769"/>
      <c r="AE2" s="769"/>
      <c r="AF2" s="770"/>
      <c r="AH2" s="768" t="s">
        <v>216</v>
      </c>
      <c r="AI2" s="769"/>
      <c r="AJ2" s="769"/>
      <c r="AK2" s="770"/>
    </row>
    <row r="3" spans="1:37" ht="16.5" thickBot="1" x14ac:dyDescent="0.3">
      <c r="A3" s="1"/>
      <c r="B3" s="56"/>
      <c r="C3" s="34" t="s">
        <v>200</v>
      </c>
      <c r="D3" s="34"/>
      <c r="E3" s="34"/>
      <c r="F3" s="34"/>
      <c r="G3" s="34"/>
      <c r="H3" s="34"/>
      <c r="I3" s="34"/>
      <c r="J3" s="34"/>
      <c r="K3" s="34"/>
      <c r="L3" s="57"/>
      <c r="N3" s="771" t="s">
        <v>214</v>
      </c>
      <c r="O3" s="772"/>
      <c r="P3" s="773"/>
      <c r="Q3" s="175" t="s">
        <v>116</v>
      </c>
      <c r="R3" s="162"/>
      <c r="S3" s="771" t="s">
        <v>214</v>
      </c>
      <c r="T3" s="772"/>
      <c r="U3" s="773"/>
      <c r="V3" s="175" t="s">
        <v>116</v>
      </c>
      <c r="X3" s="771" t="s">
        <v>214</v>
      </c>
      <c r="Y3" s="772"/>
      <c r="Z3" s="773"/>
      <c r="AA3" s="175" t="s">
        <v>116</v>
      </c>
      <c r="AB3" s="162"/>
      <c r="AC3" s="771" t="s">
        <v>214</v>
      </c>
      <c r="AD3" s="772"/>
      <c r="AE3" s="773"/>
      <c r="AF3" s="175" t="s">
        <v>116</v>
      </c>
      <c r="AH3" s="732" t="s">
        <v>214</v>
      </c>
      <c r="AI3" s="733"/>
      <c r="AJ3" s="734"/>
      <c r="AK3" s="88" t="s">
        <v>116</v>
      </c>
    </row>
    <row r="4" spans="1:37" ht="16.5" thickBot="1" x14ac:dyDescent="0.3">
      <c r="A4" s="1"/>
      <c r="B4" s="58"/>
      <c r="C4" s="59"/>
      <c r="D4" s="59"/>
      <c r="E4" s="59"/>
      <c r="F4" s="59"/>
      <c r="G4" s="59"/>
      <c r="H4" s="59"/>
      <c r="I4" s="59"/>
      <c r="J4" s="59"/>
      <c r="K4" s="59"/>
      <c r="L4" s="60"/>
      <c r="N4" s="105">
        <v>0.8</v>
      </c>
      <c r="O4" s="93" t="s">
        <v>16</v>
      </c>
      <c r="P4" s="119">
        <v>0</v>
      </c>
      <c r="Q4" s="90">
        <v>0</v>
      </c>
      <c r="R4" s="162"/>
      <c r="S4" s="105">
        <v>1.3</v>
      </c>
      <c r="T4" s="93" t="s">
        <v>16</v>
      </c>
      <c r="U4" s="119">
        <v>1.2</v>
      </c>
      <c r="V4" s="90">
        <v>5</v>
      </c>
      <c r="X4" s="134">
        <v>30</v>
      </c>
      <c r="Y4" s="93" t="s">
        <v>217</v>
      </c>
      <c r="Z4" s="176">
        <v>0</v>
      </c>
      <c r="AA4" s="90">
        <v>0</v>
      </c>
      <c r="AB4" s="162"/>
      <c r="AC4" s="134">
        <v>90</v>
      </c>
      <c r="AD4" s="93" t="s">
        <v>217</v>
      </c>
      <c r="AE4" s="176">
        <v>70</v>
      </c>
      <c r="AF4" s="90">
        <v>5</v>
      </c>
      <c r="AH4" s="123">
        <v>0.02</v>
      </c>
      <c r="AI4" s="93" t="s">
        <v>18</v>
      </c>
      <c r="AJ4" s="125">
        <v>0</v>
      </c>
      <c r="AK4" s="90">
        <v>0</v>
      </c>
    </row>
    <row r="5" spans="1:37" ht="18.75" thickBot="1" x14ac:dyDescent="0.3">
      <c r="A5" s="1"/>
      <c r="B5" s="1"/>
      <c r="C5" s="26"/>
      <c r="D5" s="26"/>
      <c r="E5" s="26"/>
      <c r="F5" s="26"/>
      <c r="G5" s="26"/>
      <c r="H5" s="26"/>
      <c r="I5" s="26"/>
      <c r="L5" s="1"/>
      <c r="N5" s="106">
        <v>0.9</v>
      </c>
      <c r="O5" s="95" t="s">
        <v>16</v>
      </c>
      <c r="P5" s="98">
        <v>0.8</v>
      </c>
      <c r="Q5" s="91">
        <v>1</v>
      </c>
      <c r="R5" s="162"/>
      <c r="S5" s="106">
        <v>1.4</v>
      </c>
      <c r="T5" s="95" t="s">
        <v>16</v>
      </c>
      <c r="U5" s="98">
        <v>1.3</v>
      </c>
      <c r="V5" s="91">
        <v>4</v>
      </c>
      <c r="X5" s="135">
        <v>40</v>
      </c>
      <c r="Y5" s="93" t="s">
        <v>217</v>
      </c>
      <c r="Z5" s="136">
        <v>30</v>
      </c>
      <c r="AA5" s="91">
        <v>1</v>
      </c>
      <c r="AB5" s="162"/>
      <c r="AC5" s="135">
        <v>110</v>
      </c>
      <c r="AD5" s="93" t="s">
        <v>217</v>
      </c>
      <c r="AE5" s="136">
        <v>90</v>
      </c>
      <c r="AF5" s="91">
        <v>4</v>
      </c>
      <c r="AH5" s="124">
        <v>0.05</v>
      </c>
      <c r="AI5" s="95" t="s">
        <v>19</v>
      </c>
      <c r="AJ5" s="126">
        <v>0.02</v>
      </c>
      <c r="AK5" s="91">
        <v>1</v>
      </c>
    </row>
    <row r="6" spans="1:37" x14ac:dyDescent="0.25">
      <c r="A6" s="1"/>
      <c r="B6" s="6"/>
      <c r="C6" s="10"/>
      <c r="D6" s="11"/>
      <c r="E6" s="12"/>
      <c r="F6" s="11"/>
      <c r="G6" s="10"/>
      <c r="H6" s="11"/>
      <c r="I6" s="11"/>
      <c r="J6" s="11"/>
      <c r="K6" s="11"/>
      <c r="L6" s="20"/>
      <c r="N6" s="106">
        <v>1</v>
      </c>
      <c r="O6" s="95" t="s">
        <v>16</v>
      </c>
      <c r="P6" s="98">
        <v>0.9</v>
      </c>
      <c r="Q6" s="91">
        <v>2</v>
      </c>
      <c r="R6" s="162"/>
      <c r="S6" s="106">
        <v>1.5</v>
      </c>
      <c r="T6" s="95" t="s">
        <v>16</v>
      </c>
      <c r="U6" s="98">
        <v>1.4</v>
      </c>
      <c r="V6" s="91">
        <v>3</v>
      </c>
      <c r="X6" s="135">
        <v>50</v>
      </c>
      <c r="Y6" s="93" t="s">
        <v>217</v>
      </c>
      <c r="Z6" s="136">
        <v>40</v>
      </c>
      <c r="AA6" s="91">
        <v>2</v>
      </c>
      <c r="AB6" s="162"/>
      <c r="AC6" s="135">
        <v>130</v>
      </c>
      <c r="AD6" s="93" t="s">
        <v>217</v>
      </c>
      <c r="AE6" s="136">
        <v>110</v>
      </c>
      <c r="AF6" s="91">
        <v>3</v>
      </c>
      <c r="AH6" s="124">
        <v>7.4999999999999997E-2</v>
      </c>
      <c r="AI6" s="95" t="s">
        <v>19</v>
      </c>
      <c r="AJ6" s="126">
        <v>0.05</v>
      </c>
      <c r="AK6" s="91">
        <v>2</v>
      </c>
    </row>
    <row r="7" spans="1:37" x14ac:dyDescent="0.25">
      <c r="A7" s="2"/>
      <c r="B7" s="8"/>
      <c r="C7" s="34" t="s">
        <v>123</v>
      </c>
      <c r="D7" s="34"/>
      <c r="E7" s="35"/>
      <c r="F7" s="35"/>
      <c r="G7" s="35"/>
      <c r="H7" s="35"/>
      <c r="I7" s="36"/>
      <c r="J7" s="36"/>
      <c r="K7" s="36"/>
      <c r="L7" s="22"/>
      <c r="N7" s="106">
        <v>1.1000000000000001</v>
      </c>
      <c r="O7" s="95" t="s">
        <v>16</v>
      </c>
      <c r="P7" s="98">
        <v>1</v>
      </c>
      <c r="Q7" s="91">
        <v>3</v>
      </c>
      <c r="R7" s="162"/>
      <c r="S7" s="106">
        <v>1.6</v>
      </c>
      <c r="T7" s="95" t="s">
        <v>16</v>
      </c>
      <c r="U7" s="98">
        <v>1.5</v>
      </c>
      <c r="V7" s="91">
        <v>2</v>
      </c>
      <c r="X7" s="135">
        <v>60</v>
      </c>
      <c r="Y7" s="93" t="s">
        <v>217</v>
      </c>
      <c r="Z7" s="136">
        <v>50</v>
      </c>
      <c r="AA7" s="91">
        <v>3</v>
      </c>
      <c r="AB7" s="162"/>
      <c r="AC7" s="135">
        <v>150</v>
      </c>
      <c r="AD7" s="93" t="s">
        <v>217</v>
      </c>
      <c r="AE7" s="136">
        <v>130</v>
      </c>
      <c r="AF7" s="91">
        <v>2</v>
      </c>
      <c r="AH7" s="124">
        <v>0.1</v>
      </c>
      <c r="AI7" s="95" t="s">
        <v>19</v>
      </c>
      <c r="AJ7" s="126">
        <v>7.4999999999999997E-2</v>
      </c>
      <c r="AK7" s="91">
        <v>3</v>
      </c>
    </row>
    <row r="8" spans="1:37" x14ac:dyDescent="0.25">
      <c r="A8" s="2"/>
      <c r="B8" s="8"/>
      <c r="C8" s="34"/>
      <c r="D8" s="34"/>
      <c r="E8" s="35"/>
      <c r="F8" s="35"/>
      <c r="G8" s="35"/>
      <c r="H8" s="35"/>
      <c r="I8" s="36"/>
      <c r="J8" s="36"/>
      <c r="K8" s="36"/>
      <c r="L8" s="22"/>
      <c r="N8" s="106">
        <v>1.2</v>
      </c>
      <c r="O8" s="95" t="s">
        <v>16</v>
      </c>
      <c r="P8" s="98">
        <v>1.1000000000000001</v>
      </c>
      <c r="Q8" s="91">
        <v>4</v>
      </c>
      <c r="R8" s="162"/>
      <c r="S8" s="106">
        <v>1.7</v>
      </c>
      <c r="T8" s="95" t="s">
        <v>16</v>
      </c>
      <c r="U8" s="98">
        <v>1.6</v>
      </c>
      <c r="V8" s="91">
        <v>1</v>
      </c>
      <c r="X8" s="135">
        <v>70</v>
      </c>
      <c r="Y8" s="93" t="s">
        <v>217</v>
      </c>
      <c r="Z8" s="136">
        <v>60</v>
      </c>
      <c r="AA8" s="91">
        <v>4</v>
      </c>
      <c r="AB8" s="162"/>
      <c r="AC8" s="135">
        <v>170</v>
      </c>
      <c r="AD8" s="93" t="s">
        <v>217</v>
      </c>
      <c r="AE8" s="136">
        <v>150</v>
      </c>
      <c r="AF8" s="91">
        <v>1</v>
      </c>
      <c r="AH8" s="124">
        <v>0.15</v>
      </c>
      <c r="AI8" s="95" t="s">
        <v>19</v>
      </c>
      <c r="AJ8" s="126">
        <v>0.1</v>
      </c>
      <c r="AK8" s="91">
        <v>4</v>
      </c>
    </row>
    <row r="9" spans="1:37" ht="16.5" thickBot="1" x14ac:dyDescent="0.3">
      <c r="A9" s="2"/>
      <c r="B9" s="8"/>
      <c r="C9" s="34" t="s">
        <v>213</v>
      </c>
      <c r="D9" s="34"/>
      <c r="E9" s="35"/>
      <c r="F9" s="35"/>
      <c r="G9" s="35"/>
      <c r="H9" s="35"/>
      <c r="I9" s="36"/>
      <c r="J9" s="36"/>
      <c r="K9" s="36"/>
      <c r="L9" s="22"/>
      <c r="N9" s="107"/>
      <c r="O9" s="96" t="s">
        <v>17</v>
      </c>
      <c r="P9" s="99">
        <v>1.2</v>
      </c>
      <c r="Q9" s="92">
        <v>5</v>
      </c>
      <c r="R9" s="162"/>
      <c r="S9" s="107"/>
      <c r="T9" s="96" t="s">
        <v>17</v>
      </c>
      <c r="U9" s="99">
        <v>1.7</v>
      </c>
      <c r="V9" s="92">
        <v>0</v>
      </c>
      <c r="X9" s="107"/>
      <c r="Y9" s="96" t="s">
        <v>218</v>
      </c>
      <c r="Z9" s="137">
        <v>70</v>
      </c>
      <c r="AA9" s="92">
        <v>5</v>
      </c>
      <c r="AB9" s="162"/>
      <c r="AC9" s="177"/>
      <c r="AD9" s="96" t="s">
        <v>218</v>
      </c>
      <c r="AE9" s="137">
        <v>170</v>
      </c>
      <c r="AF9" s="92">
        <v>0</v>
      </c>
      <c r="AH9" s="122"/>
      <c r="AI9" s="96" t="s">
        <v>20</v>
      </c>
      <c r="AJ9" s="127">
        <v>0.15</v>
      </c>
      <c r="AK9" s="92">
        <v>5</v>
      </c>
    </row>
    <row r="10" spans="1:37" ht="16.5" thickBot="1" x14ac:dyDescent="0.3">
      <c r="A10" s="1"/>
      <c r="B10" s="7"/>
      <c r="C10" s="37"/>
      <c r="D10" s="38"/>
      <c r="E10" s="39"/>
      <c r="F10" s="38"/>
      <c r="G10" s="37"/>
      <c r="H10" s="38"/>
      <c r="I10" s="109"/>
      <c r="J10" s="38"/>
      <c r="K10" s="38"/>
      <c r="L10" s="21"/>
    </row>
    <row r="11" spans="1:37" ht="33.950000000000003" customHeight="1" thickBot="1" x14ac:dyDescent="0.3">
      <c r="A11" s="1"/>
      <c r="B11" s="7"/>
      <c r="C11" s="3" t="str">
        <f>'Unos podataka'!C27</f>
        <v>Instalisani protok(m3/s)</v>
      </c>
      <c r="D11" s="39" t="s">
        <v>1</v>
      </c>
      <c r="E11" s="3" t="str">
        <f>'Unos podataka'!C25</f>
        <v>Središnji godišnji protok(m3/s)</v>
      </c>
      <c r="F11" s="39" t="s">
        <v>3</v>
      </c>
      <c r="G11" s="3" t="s">
        <v>201</v>
      </c>
      <c r="H11" s="39"/>
      <c r="I11" s="109"/>
      <c r="J11" s="39"/>
      <c r="K11" s="38"/>
      <c r="L11" s="21"/>
    </row>
    <row r="12" spans="1:37" ht="9.9499999999999993" customHeight="1" thickBot="1" x14ac:dyDescent="0.3">
      <c r="A12" s="1"/>
      <c r="B12" s="7"/>
      <c r="C12" s="39"/>
      <c r="D12" s="40"/>
      <c r="E12" s="39"/>
      <c r="F12" s="40"/>
      <c r="G12" s="39"/>
      <c r="H12" s="40"/>
      <c r="I12" s="109"/>
      <c r="J12" s="39"/>
      <c r="K12" s="38"/>
      <c r="L12" s="21"/>
    </row>
    <row r="13" spans="1:37" ht="20.100000000000001" customHeight="1" thickBot="1" x14ac:dyDescent="0.3">
      <c r="A13" s="1"/>
      <c r="B13" s="7"/>
      <c r="C13" s="118" t="str">
        <f>IF('Unos podataka'!E27="","",'Unos podataka'!E27)</f>
        <v/>
      </c>
      <c r="D13" s="39" t="s">
        <v>1</v>
      </c>
      <c r="E13" s="118" t="str">
        <f>IF('Unos podataka'!E25="","",'Unos podataka'!E25)</f>
        <v/>
      </c>
      <c r="F13" s="39" t="s">
        <v>3</v>
      </c>
      <c r="G13" s="184" t="str">
        <f>IF(OR(C13="",E13=""),"",C13/E13)</f>
        <v/>
      </c>
      <c r="H13" s="39"/>
      <c r="I13" s="131"/>
      <c r="J13" s="39"/>
      <c r="K13" s="38"/>
      <c r="L13" s="21"/>
    </row>
    <row r="14" spans="1:37" ht="9.9499999999999993" customHeight="1" thickBot="1" x14ac:dyDescent="0.3">
      <c r="A14" s="1"/>
      <c r="B14" s="45"/>
      <c r="C14" s="46"/>
      <c r="D14" s="46"/>
      <c r="E14" s="46"/>
      <c r="F14" s="46"/>
      <c r="G14" s="46"/>
      <c r="H14" s="46"/>
      <c r="I14" s="46"/>
      <c r="J14" s="46"/>
      <c r="K14" s="46"/>
      <c r="L14" s="49"/>
    </row>
    <row r="15" spans="1:37" ht="18.95" customHeight="1" x14ac:dyDescent="0.25">
      <c r="A15" s="1"/>
      <c r="B15" s="47"/>
      <c r="C15" s="48"/>
      <c r="D15" s="48"/>
      <c r="E15" s="48"/>
      <c r="F15" s="48"/>
      <c r="G15" s="757" t="str">
        <f>IF(G13="","",IF(G13&lt;=1.2,VLOOKUP(G13,P4:Q9,2),VLOOKUP(G13,U4:V9,2)))</f>
        <v/>
      </c>
      <c r="H15" s="759" t="s">
        <v>21</v>
      </c>
      <c r="I15" s="760">
        <f>IF(E31=N16,G50,I50)</f>
        <v>0.5</v>
      </c>
      <c r="J15" s="46"/>
      <c r="K15" s="435">
        <f>IF(G15="",0,1)</f>
        <v>0</v>
      </c>
      <c r="L15" s="50"/>
      <c r="N15" s="110" t="s">
        <v>52</v>
      </c>
    </row>
    <row r="16" spans="1:37" ht="15.95" customHeight="1" thickBot="1" x14ac:dyDescent="0.3">
      <c r="B16" s="45"/>
      <c r="C16" s="46"/>
      <c r="D16" s="46"/>
      <c r="E16" s="46"/>
      <c r="F16" s="46"/>
      <c r="G16" s="758"/>
      <c r="H16" s="759"/>
      <c r="I16" s="761"/>
      <c r="J16" s="46"/>
      <c r="K16" s="435"/>
      <c r="L16" s="49"/>
      <c r="N16" t="s">
        <v>119</v>
      </c>
    </row>
    <row r="17" spans="1:29" ht="17.100000000000001" customHeight="1" x14ac:dyDescent="0.25">
      <c r="B17" s="45"/>
      <c r="C17" s="46"/>
      <c r="D17" s="46"/>
      <c r="E17" s="46"/>
      <c r="F17" s="46"/>
      <c r="G17" s="46"/>
      <c r="H17" s="46"/>
      <c r="I17" s="46"/>
      <c r="J17" s="46"/>
      <c r="K17" s="435"/>
      <c r="L17" s="49"/>
      <c r="N17" t="s">
        <v>120</v>
      </c>
      <c r="Q17" s="145"/>
    </row>
    <row r="18" spans="1:29" ht="17.100000000000001" customHeight="1" x14ac:dyDescent="0.25">
      <c r="B18" s="181"/>
      <c r="C18" s="182"/>
      <c r="D18" s="182"/>
      <c r="E18" s="182"/>
      <c r="F18" s="182"/>
      <c r="G18" s="182"/>
      <c r="H18" s="182"/>
      <c r="I18" s="182"/>
      <c r="J18" s="182"/>
      <c r="K18" s="680"/>
      <c r="L18" s="183"/>
    </row>
    <row r="19" spans="1:29" x14ac:dyDescent="0.25">
      <c r="B19" s="8"/>
      <c r="C19" s="34" t="s">
        <v>202</v>
      </c>
      <c r="D19" s="34"/>
      <c r="E19" s="35"/>
      <c r="F19" s="35"/>
      <c r="G19" s="35"/>
      <c r="H19" s="35"/>
      <c r="I19" s="36"/>
      <c r="J19" s="36"/>
      <c r="K19" s="681"/>
      <c r="L19" s="22"/>
      <c r="N19" s="52"/>
      <c r="S19" s="52"/>
      <c r="X19" s="52"/>
      <c r="AC19" s="52"/>
    </row>
    <row r="20" spans="1:29" ht="16.5" thickBot="1" x14ac:dyDescent="0.3">
      <c r="B20" s="7"/>
      <c r="C20" s="37"/>
      <c r="D20" s="38"/>
      <c r="E20" s="39"/>
      <c r="F20" s="38"/>
      <c r="G20" s="37"/>
      <c r="H20" s="38"/>
      <c r="I20" s="109"/>
      <c r="J20" s="38"/>
      <c r="K20" s="682"/>
      <c r="L20" s="21"/>
    </row>
    <row r="21" spans="1:29" ht="42.95" customHeight="1" thickBot="1" x14ac:dyDescent="0.3">
      <c r="B21" s="7"/>
      <c r="C21" s="765" t="s">
        <v>205</v>
      </c>
      <c r="D21" s="766"/>
      <c r="E21" s="766"/>
      <c r="F21" s="766"/>
      <c r="G21" s="767"/>
      <c r="H21" s="39"/>
      <c r="I21" s="109"/>
      <c r="J21" s="39"/>
      <c r="K21" s="682"/>
      <c r="L21" s="21"/>
      <c r="O21" s="130"/>
      <c r="Y21" s="130"/>
    </row>
    <row r="22" spans="1:29" ht="9.9499999999999993" customHeight="1" thickBot="1" x14ac:dyDescent="0.3">
      <c r="A22" s="1"/>
      <c r="B22" s="7"/>
      <c r="C22" s="39"/>
      <c r="D22" s="40"/>
      <c r="E22" s="39"/>
      <c r="F22" s="40"/>
      <c r="G22" s="39"/>
      <c r="H22" s="40"/>
      <c r="I22" s="109"/>
      <c r="J22" s="39"/>
      <c r="K22" s="682"/>
      <c r="L22" s="21"/>
    </row>
    <row r="23" spans="1:29" ht="16.5" thickBot="1" x14ac:dyDescent="0.3">
      <c r="B23" s="7"/>
      <c r="C23" s="762"/>
      <c r="D23" s="763"/>
      <c r="E23" s="763"/>
      <c r="F23" s="763"/>
      <c r="G23" s="764"/>
      <c r="H23" s="39"/>
      <c r="I23" s="131"/>
      <c r="J23" s="39"/>
      <c r="K23" s="682"/>
      <c r="L23" s="21"/>
      <c r="O23" s="80"/>
      <c r="Y23" s="80"/>
    </row>
    <row r="24" spans="1:29" ht="9.9499999999999993" customHeight="1" thickBot="1" x14ac:dyDescent="0.3">
      <c r="A24" s="1"/>
      <c r="B24" s="45"/>
      <c r="C24" s="46"/>
      <c r="D24" s="46"/>
      <c r="E24" s="46"/>
      <c r="F24" s="46"/>
      <c r="G24" s="46"/>
      <c r="H24" s="46"/>
      <c r="I24" s="46"/>
      <c r="J24" s="46"/>
      <c r="K24" s="435"/>
      <c r="L24" s="49"/>
    </row>
    <row r="25" spans="1:29" ht="18" x14ac:dyDescent="0.25">
      <c r="B25" s="47"/>
      <c r="C25" s="48"/>
      <c r="D25" s="48"/>
      <c r="E25" s="48"/>
      <c r="F25" s="48"/>
      <c r="G25" s="757" t="str">
        <f>IF(C23="","",IF(C23&lt;=70,VLOOKUP(C23,Z4:AA9,2),VLOOKUP(C23,AE4:AF9,2)))</f>
        <v/>
      </c>
      <c r="H25" s="759" t="s">
        <v>21</v>
      </c>
      <c r="I25" s="760">
        <f>IF(E31=N16,G52,I52)</f>
        <v>0.5</v>
      </c>
      <c r="J25" s="46"/>
      <c r="K25" s="435">
        <f>IF(G25="",0,1)</f>
        <v>0</v>
      </c>
      <c r="L25" s="50"/>
    </row>
    <row r="26" spans="1:29" ht="16.5" thickBot="1" x14ac:dyDescent="0.3">
      <c r="B26" s="45"/>
      <c r="C26" s="46"/>
      <c r="D26" s="46"/>
      <c r="E26" s="46"/>
      <c r="F26" s="46"/>
      <c r="G26" s="758"/>
      <c r="H26" s="759"/>
      <c r="I26" s="761"/>
      <c r="J26" s="46"/>
      <c r="K26" s="435"/>
      <c r="L26" s="49"/>
    </row>
    <row r="27" spans="1:29" x14ac:dyDescent="0.25">
      <c r="B27" s="45"/>
      <c r="C27" s="46"/>
      <c r="D27" s="46"/>
      <c r="E27" s="46"/>
      <c r="F27" s="46"/>
      <c r="G27" s="46"/>
      <c r="H27" s="46"/>
      <c r="I27" s="46"/>
      <c r="J27" s="46"/>
      <c r="K27" s="435"/>
      <c r="L27" s="49"/>
    </row>
    <row r="28" spans="1:29" ht="17.100000000000001" customHeight="1" x14ac:dyDescent="0.25">
      <c r="B28" s="181"/>
      <c r="C28" s="182"/>
      <c r="D28" s="182"/>
      <c r="E28" s="182"/>
      <c r="F28" s="182"/>
      <c r="G28" s="182"/>
      <c r="H28" s="182"/>
      <c r="I28" s="182"/>
      <c r="J28" s="182"/>
      <c r="K28" s="680"/>
      <c r="L28" s="183"/>
    </row>
    <row r="29" spans="1:29" x14ac:dyDescent="0.25">
      <c r="B29" s="45"/>
      <c r="C29" s="34" t="s">
        <v>203</v>
      </c>
      <c r="D29" s="46"/>
      <c r="E29" s="46"/>
      <c r="F29" s="46"/>
      <c r="G29" s="46"/>
      <c r="H29" s="46"/>
      <c r="I29" s="46"/>
      <c r="J29" s="46"/>
      <c r="K29" s="435"/>
      <c r="L29" s="49"/>
    </row>
    <row r="30" spans="1:29" ht="16.5" thickBot="1" x14ac:dyDescent="0.3">
      <c r="B30" s="45"/>
      <c r="C30" s="34"/>
      <c r="D30" s="46"/>
      <c r="E30" s="46"/>
      <c r="F30" s="46"/>
      <c r="G30" s="46"/>
      <c r="H30" s="46"/>
      <c r="I30" s="46"/>
      <c r="J30" s="46"/>
      <c r="K30" s="435"/>
      <c r="L30" s="49"/>
    </row>
    <row r="31" spans="1:29" ht="26.25" thickBot="1" x14ac:dyDescent="0.3">
      <c r="B31" s="45"/>
      <c r="C31" s="363" t="s">
        <v>108</v>
      </c>
      <c r="D31" s="46"/>
      <c r="E31" s="376">
        <f>'Unos podataka'!E29</f>
        <v>0</v>
      </c>
      <c r="F31" s="377" t="s">
        <v>51</v>
      </c>
      <c r="G31" s="754" t="str">
        <f>IF(E31=N16, "Podkriterij primjenjljiv","Podkriterij nije primjenjljiv")</f>
        <v>Podkriterij nije primjenjljiv</v>
      </c>
      <c r="H31" s="755"/>
      <c r="I31" s="756"/>
      <c r="J31" s="46"/>
      <c r="K31" s="435"/>
      <c r="L31" s="49"/>
    </row>
    <row r="32" spans="1:29" ht="16.5" thickBot="1" x14ac:dyDescent="0.3">
      <c r="B32" s="45"/>
      <c r="C32" s="46"/>
      <c r="D32" s="46"/>
      <c r="E32" s="46"/>
      <c r="F32" s="46"/>
      <c r="G32" s="46"/>
      <c r="H32" s="46"/>
      <c r="I32" s="46"/>
      <c r="J32" s="46"/>
      <c r="K32" s="435"/>
      <c r="L32" s="49"/>
    </row>
    <row r="33" spans="2:12" ht="26.25" thickBot="1" x14ac:dyDescent="0.4">
      <c r="B33" s="129"/>
      <c r="C33" s="3" t="str">
        <f>'Unos podataka'!C21</f>
        <v>Bruto pad (m)</v>
      </c>
      <c r="D33" s="39" t="s">
        <v>1</v>
      </c>
      <c r="E33" s="3" t="str">
        <f>'Unos podataka'!C31</f>
        <v>n.a.</v>
      </c>
      <c r="F33" s="39" t="s">
        <v>3</v>
      </c>
      <c r="G33" s="3" t="s">
        <v>204</v>
      </c>
      <c r="H33" s="46"/>
      <c r="I33" s="46"/>
      <c r="J33" s="46"/>
      <c r="K33" s="435"/>
      <c r="L33" s="49"/>
    </row>
    <row r="34" spans="2:12" ht="16.5" thickBot="1" x14ac:dyDescent="0.3">
      <c r="B34" s="45"/>
      <c r="C34" s="39"/>
      <c r="D34" s="40"/>
      <c r="E34" s="39"/>
      <c r="F34" s="40"/>
      <c r="G34" s="39"/>
      <c r="H34" s="46"/>
      <c r="I34" s="46"/>
      <c r="J34" s="46"/>
      <c r="K34" s="435"/>
      <c r="L34" s="49"/>
    </row>
    <row r="35" spans="2:12" ht="16.5" thickBot="1" x14ac:dyDescent="0.3">
      <c r="B35" s="45"/>
      <c r="C35" s="120" t="str">
        <f>IF('Unos podataka'!E21="","",IF(E31=N16,'Unos podataka'!E21,""))</f>
        <v/>
      </c>
      <c r="D35" s="39" t="s">
        <v>1</v>
      </c>
      <c r="E35" s="121" t="str">
        <f>IF('Unos podataka'!E31="","",IF(E31=N16,'Unos podataka'!E31,""))</f>
        <v/>
      </c>
      <c r="F35" s="39" t="s">
        <v>3</v>
      </c>
      <c r="G35" s="179" t="str">
        <f>IF(OR(C35="",E35=""),"",IF(E31=N16,C35/E35/1000,""))</f>
        <v/>
      </c>
      <c r="H35" s="46"/>
      <c r="I35" s="128"/>
      <c r="J35" s="46"/>
      <c r="K35" s="435"/>
      <c r="L35" s="49"/>
    </row>
    <row r="36" spans="2:12" ht="16.5" thickBot="1" x14ac:dyDescent="0.3">
      <c r="B36" s="45"/>
      <c r="C36" s="46"/>
      <c r="D36" s="46"/>
      <c r="E36" s="46"/>
      <c r="F36" s="46"/>
      <c r="G36" s="46"/>
      <c r="H36" s="46"/>
      <c r="I36" s="46"/>
      <c r="J36" s="46"/>
      <c r="K36" s="435"/>
      <c r="L36" s="49"/>
    </row>
    <row r="37" spans="2:12" ht="18" x14ac:dyDescent="0.25">
      <c r="B37" s="45"/>
      <c r="C37" s="48"/>
      <c r="D37" s="48"/>
      <c r="E37" s="48"/>
      <c r="F37" s="48"/>
      <c r="G37" s="757" t="str">
        <f>IF(G35="","",IF(E31=N16,VLOOKUP(G35,AJ4:AK9,2),""))</f>
        <v/>
      </c>
      <c r="H37" s="759" t="s">
        <v>21</v>
      </c>
      <c r="I37" s="760" t="str">
        <f>IF(E31=N16,G54,"")</f>
        <v/>
      </c>
      <c r="J37" s="46"/>
      <c r="K37" s="435">
        <f>IF(AND(E31=N16,G37=""),0,1)</f>
        <v>1</v>
      </c>
      <c r="L37" s="49"/>
    </row>
    <row r="38" spans="2:12" ht="16.5" thickBot="1" x14ac:dyDescent="0.3">
      <c r="B38" s="45"/>
      <c r="C38" s="46"/>
      <c r="D38" s="46"/>
      <c r="E38" s="46"/>
      <c r="F38" s="46"/>
      <c r="G38" s="758"/>
      <c r="H38" s="759"/>
      <c r="I38" s="761"/>
      <c r="J38" s="46"/>
      <c r="K38" s="435"/>
      <c r="L38" s="49"/>
    </row>
    <row r="39" spans="2:12" x14ac:dyDescent="0.25">
      <c r="B39" s="45"/>
      <c r="C39" s="46"/>
      <c r="D39" s="46"/>
      <c r="E39" s="46"/>
      <c r="F39" s="46"/>
      <c r="G39" s="46"/>
      <c r="H39" s="46"/>
      <c r="I39" s="46"/>
      <c r="J39" s="46"/>
      <c r="K39" s="435"/>
      <c r="L39" s="49"/>
    </row>
    <row r="40" spans="2:12" ht="16.5" thickBot="1" x14ac:dyDescent="0.3">
      <c r="B40" s="181"/>
      <c r="C40" s="182"/>
      <c r="D40" s="182"/>
      <c r="E40" s="182"/>
      <c r="F40" s="182"/>
      <c r="G40" s="182"/>
      <c r="H40" s="182"/>
      <c r="I40" s="182"/>
      <c r="J40" s="182"/>
      <c r="K40" s="680"/>
      <c r="L40" s="183"/>
    </row>
    <row r="41" spans="2:12" x14ac:dyDescent="0.25">
      <c r="B41" s="45"/>
      <c r="C41" s="747" t="s">
        <v>189</v>
      </c>
      <c r="D41" s="747"/>
      <c r="E41" s="747"/>
      <c r="F41" s="46"/>
      <c r="G41" s="748" t="str">
        <f>IF(K41=0,"",IF(E31=N16,G15*I15+G25*I25+G37*I37,G15*I15+G25*I25))</f>
        <v/>
      </c>
      <c r="H41" s="749"/>
      <c r="I41" s="750"/>
      <c r="J41" s="46"/>
      <c r="K41" s="435">
        <f>MIN(K15:K38)</f>
        <v>0</v>
      </c>
      <c r="L41" s="49"/>
    </row>
    <row r="42" spans="2:12" ht="16.5" thickBot="1" x14ac:dyDescent="0.3">
      <c r="B42" s="45"/>
      <c r="C42" s="747"/>
      <c r="D42" s="747"/>
      <c r="E42" s="747"/>
      <c r="F42" s="46"/>
      <c r="G42" s="751"/>
      <c r="H42" s="752"/>
      <c r="I42" s="753"/>
      <c r="J42" s="46"/>
      <c r="K42" s="46"/>
      <c r="L42" s="49"/>
    </row>
    <row r="43" spans="2:12" ht="16.5" thickBot="1" x14ac:dyDescent="0.3">
      <c r="B43" s="31"/>
      <c r="C43" s="41"/>
      <c r="D43" s="19"/>
      <c r="E43" s="42"/>
      <c r="F43" s="19"/>
      <c r="G43" s="19"/>
      <c r="H43" s="19"/>
      <c r="I43" s="19"/>
      <c r="J43" s="51"/>
      <c r="K43" s="51"/>
      <c r="L43" s="23"/>
    </row>
    <row r="44" spans="2:12" ht="16.5" thickBot="1" x14ac:dyDescent="0.3"/>
    <row r="45" spans="2:12" x14ac:dyDescent="0.25">
      <c r="B45" s="249"/>
      <c r="C45" s="250"/>
      <c r="D45" s="250"/>
      <c r="E45" s="250"/>
      <c r="F45" s="250"/>
      <c r="G45" s="250"/>
      <c r="H45" s="250"/>
      <c r="I45" s="250"/>
      <c r="J45" s="250"/>
      <c r="K45" s="250"/>
      <c r="L45" s="251"/>
    </row>
    <row r="46" spans="2:12" ht="18" x14ac:dyDescent="0.25">
      <c r="B46" s="45"/>
      <c r="C46" s="379" t="s">
        <v>206</v>
      </c>
      <c r="D46" s="46"/>
      <c r="E46" s="46"/>
      <c r="F46" s="46"/>
      <c r="G46" s="46"/>
      <c r="H46" s="46"/>
      <c r="I46" s="46"/>
      <c r="J46" s="46"/>
      <c r="K46" s="46"/>
      <c r="L46" s="49"/>
    </row>
    <row r="47" spans="2:12" ht="16.5" thickBot="1" x14ac:dyDescent="0.3">
      <c r="B47" s="45"/>
      <c r="C47" s="34"/>
      <c r="D47" s="46"/>
      <c r="E47" s="46"/>
      <c r="F47" s="46"/>
      <c r="G47" s="46"/>
      <c r="H47" s="46"/>
      <c r="I47" s="46"/>
      <c r="J47" s="46"/>
      <c r="K47" s="46"/>
      <c r="L47" s="49"/>
    </row>
    <row r="48" spans="2:12" ht="33.950000000000003" customHeight="1" thickBot="1" x14ac:dyDescent="0.3">
      <c r="B48" s="45"/>
      <c r="C48" s="34"/>
      <c r="D48" s="46"/>
      <c r="E48" s="46"/>
      <c r="F48" s="46"/>
      <c r="G48" s="3" t="s">
        <v>208</v>
      </c>
      <c r="H48" s="46"/>
      <c r="I48" s="3" t="s">
        <v>209</v>
      </c>
      <c r="J48" s="46"/>
      <c r="K48" s="46"/>
      <c r="L48" s="49"/>
    </row>
    <row r="49" spans="2:12" ht="9.9499999999999993" customHeight="1" thickBot="1" x14ac:dyDescent="0.3">
      <c r="B49" s="45"/>
      <c r="C49" s="46"/>
      <c r="D49" s="46"/>
      <c r="E49" s="46"/>
      <c r="F49" s="46"/>
      <c r="G49" s="46"/>
      <c r="H49" s="46"/>
      <c r="I49" s="46"/>
      <c r="J49" s="46"/>
      <c r="K49" s="46"/>
      <c r="L49" s="49"/>
    </row>
    <row r="50" spans="2:12" ht="29.1" customHeight="1" thickBot="1" x14ac:dyDescent="0.3">
      <c r="B50" s="45"/>
      <c r="C50" s="744" t="s">
        <v>207</v>
      </c>
      <c r="D50" s="745"/>
      <c r="E50" s="746"/>
      <c r="F50" s="46"/>
      <c r="G50" s="380">
        <v>0.4</v>
      </c>
      <c r="H50" s="46"/>
      <c r="I50" s="380">
        <v>0.5</v>
      </c>
      <c r="J50" s="46"/>
      <c r="K50" s="46"/>
      <c r="L50" s="49"/>
    </row>
    <row r="51" spans="2:12" ht="9.9499999999999993" customHeight="1" thickBot="1" x14ac:dyDescent="0.3">
      <c r="B51" s="45"/>
      <c r="C51" s="378"/>
      <c r="D51" s="378"/>
      <c r="E51" s="378"/>
      <c r="F51" s="46"/>
      <c r="G51" s="46"/>
      <c r="H51" s="46"/>
      <c r="I51" s="46"/>
      <c r="J51" s="46"/>
      <c r="K51" s="46"/>
      <c r="L51" s="49"/>
    </row>
    <row r="52" spans="2:12" ht="29.1" customHeight="1" thickBot="1" x14ac:dyDescent="0.3">
      <c r="B52" s="45"/>
      <c r="C52" s="744" t="s">
        <v>210</v>
      </c>
      <c r="D52" s="745"/>
      <c r="E52" s="746"/>
      <c r="F52" s="46"/>
      <c r="G52" s="380">
        <v>0.4</v>
      </c>
      <c r="H52" s="46"/>
      <c r="I52" s="380">
        <v>0.5</v>
      </c>
      <c r="J52" s="46"/>
      <c r="K52" s="46"/>
      <c r="L52" s="49"/>
    </row>
    <row r="53" spans="2:12" ht="11.1" customHeight="1" thickBot="1" x14ac:dyDescent="0.3">
      <c r="B53" s="45"/>
      <c r="C53" s="378"/>
      <c r="D53" s="378"/>
      <c r="E53" s="378"/>
      <c r="F53" s="46"/>
      <c r="G53" s="46"/>
      <c r="H53" s="46"/>
      <c r="I53" s="46"/>
      <c r="J53" s="46"/>
      <c r="K53" s="46"/>
      <c r="L53" s="49"/>
    </row>
    <row r="54" spans="2:12" ht="29.1" customHeight="1" thickBot="1" x14ac:dyDescent="0.3">
      <c r="B54" s="45"/>
      <c r="C54" s="744" t="s">
        <v>211</v>
      </c>
      <c r="D54" s="745"/>
      <c r="E54" s="746"/>
      <c r="F54" s="46"/>
      <c r="G54" s="380">
        <v>0.2</v>
      </c>
      <c r="H54" s="46"/>
      <c r="I54" s="380" t="s">
        <v>53</v>
      </c>
      <c r="J54" s="46"/>
      <c r="K54" s="46"/>
      <c r="L54" s="49"/>
    </row>
    <row r="55" spans="2:12" ht="16.5" thickBot="1" x14ac:dyDescent="0.3">
      <c r="B55" s="211"/>
      <c r="C55" s="51"/>
      <c r="D55" s="51"/>
      <c r="E55" s="51"/>
      <c r="F55" s="51"/>
      <c r="G55" s="51"/>
      <c r="H55" s="51"/>
      <c r="I55" s="51"/>
      <c r="J55" s="51"/>
      <c r="K55" s="51"/>
      <c r="L55" s="212"/>
    </row>
  </sheetData>
  <mergeCells count="25">
    <mergeCell ref="X2:AF2"/>
    <mergeCell ref="X3:Z3"/>
    <mergeCell ref="AC3:AE3"/>
    <mergeCell ref="AH2:AK2"/>
    <mergeCell ref="AH3:AJ3"/>
    <mergeCell ref="C21:G21"/>
    <mergeCell ref="I15:I16"/>
    <mergeCell ref="H15:H16"/>
    <mergeCell ref="G15:G16"/>
    <mergeCell ref="N2:V2"/>
    <mergeCell ref="S3:U3"/>
    <mergeCell ref="N3:P3"/>
    <mergeCell ref="G31:I31"/>
    <mergeCell ref="G37:G38"/>
    <mergeCell ref="H37:H38"/>
    <mergeCell ref="I37:I38"/>
    <mergeCell ref="C23:G23"/>
    <mergeCell ref="G25:G26"/>
    <mergeCell ref="H25:H26"/>
    <mergeCell ref="I25:I26"/>
    <mergeCell ref="C50:E50"/>
    <mergeCell ref="C52:E52"/>
    <mergeCell ref="C54:E54"/>
    <mergeCell ref="C41:E42"/>
    <mergeCell ref="G41:I42"/>
  </mergeCells>
  <conditionalFormatting sqref="G31:I31">
    <cfRule type="expression" dxfId="220" priority="1">
      <formula>$E$31=$N$17</formula>
    </cfRule>
  </conditionalFormatting>
  <dataValidations count="1">
    <dataValidation type="decimal" operator="lessThanOrEqual" allowBlank="1" showInputMessage="1" showErrorMessage="1" error="no valid number!" prompt="Unesite broj dana" sqref="C23:G23">
      <formula1>366</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zoomScaleNormal="100" workbookViewId="0">
      <selection activeCell="O19" sqref="O19"/>
    </sheetView>
  </sheetViews>
  <sheetFormatPr defaultColWidth="10.875" defaultRowHeight="15" outlineLevelCol="1" x14ac:dyDescent="0.2"/>
  <cols>
    <col min="1" max="2" width="3.875" style="80" customWidth="1"/>
    <col min="3" max="3" width="21.375" style="80" customWidth="1"/>
    <col min="4" max="4" width="3.875" style="80" customWidth="1"/>
    <col min="5" max="5" width="20.625" style="80" customWidth="1"/>
    <col min="6" max="6" width="3.875" style="80" customWidth="1"/>
    <col min="7" max="7" width="17.375" style="80" customWidth="1"/>
    <col min="8" max="8" width="3.875" style="80" customWidth="1"/>
    <col min="9" max="9" width="12.875" style="80" customWidth="1"/>
    <col min="10" max="10" width="3.875" style="80" customWidth="1"/>
    <col min="11" max="11" width="10.875" style="80"/>
    <col min="12" max="12" width="10.875" style="80" outlineLevel="1"/>
    <col min="13" max="13" width="16.625" style="80" customWidth="1" outlineLevel="1"/>
    <col min="14" max="15" width="10.875" style="80" outlineLevel="1"/>
    <col min="16" max="16384" width="10.875" style="80"/>
  </cols>
  <sheetData>
    <row r="1" spans="1:15" ht="15.75" thickBot="1" x14ac:dyDescent="0.25">
      <c r="A1" s="1"/>
      <c r="B1" s="1"/>
      <c r="C1" s="24"/>
      <c r="D1" s="1"/>
      <c r="E1" s="25"/>
      <c r="F1" s="1"/>
      <c r="G1" s="24"/>
      <c r="H1" s="1"/>
      <c r="I1" s="1"/>
      <c r="J1" s="1"/>
    </row>
    <row r="2" spans="1:15" ht="15.75" thickBot="1" x14ac:dyDescent="0.25">
      <c r="A2" s="1"/>
      <c r="B2" s="6"/>
      <c r="C2" s="10"/>
      <c r="D2" s="11"/>
      <c r="E2" s="12"/>
      <c r="F2" s="11"/>
      <c r="G2" s="10"/>
      <c r="H2" s="11"/>
      <c r="I2" s="11"/>
      <c r="J2" s="20"/>
      <c r="L2" s="732" t="s">
        <v>220</v>
      </c>
      <c r="M2" s="733"/>
      <c r="N2" s="734"/>
      <c r="O2" s="88" t="s">
        <v>116</v>
      </c>
    </row>
    <row r="3" spans="1:15" ht="17.100000000000001" customHeight="1" x14ac:dyDescent="0.2">
      <c r="A3" s="1"/>
      <c r="B3" s="7"/>
      <c r="C3" s="731" t="s">
        <v>224</v>
      </c>
      <c r="D3" s="731"/>
      <c r="E3" s="731"/>
      <c r="F3" s="731"/>
      <c r="G3" s="731"/>
      <c r="H3" s="731"/>
      <c r="I3" s="731"/>
      <c r="J3" s="30"/>
      <c r="L3" s="134">
        <v>80</v>
      </c>
      <c r="M3" s="93" t="s">
        <v>22</v>
      </c>
      <c r="N3" s="94">
        <v>0</v>
      </c>
      <c r="O3" s="90">
        <v>5</v>
      </c>
    </row>
    <row r="4" spans="1:15" ht="17.100000000000001" customHeight="1" thickBot="1" x14ac:dyDescent="0.25">
      <c r="A4" s="1"/>
      <c r="B4" s="31"/>
      <c r="C4" s="32"/>
      <c r="D4" s="32"/>
      <c r="E4" s="32"/>
      <c r="F4" s="32"/>
      <c r="G4" s="32"/>
      <c r="H4" s="32"/>
      <c r="I4" s="32"/>
      <c r="J4" s="23"/>
      <c r="L4" s="135">
        <v>125</v>
      </c>
      <c r="M4" s="95" t="s">
        <v>22</v>
      </c>
      <c r="N4" s="136">
        <v>80.000000001000004</v>
      </c>
      <c r="O4" s="91">
        <v>4</v>
      </c>
    </row>
    <row r="5" spans="1:15" ht="17.100000000000001" customHeight="1" thickBot="1" x14ac:dyDescent="0.25">
      <c r="A5" s="1"/>
      <c r="B5" s="1"/>
      <c r="C5" s="26"/>
      <c r="D5" s="26"/>
      <c r="E5" s="26"/>
      <c r="F5" s="26"/>
      <c r="G5" s="26"/>
      <c r="H5" s="26"/>
      <c r="I5" s="26"/>
      <c r="J5" s="1"/>
      <c r="L5" s="135">
        <v>250</v>
      </c>
      <c r="M5" s="95" t="s">
        <v>22</v>
      </c>
      <c r="N5" s="136">
        <v>125.000000001</v>
      </c>
      <c r="O5" s="91">
        <v>3</v>
      </c>
    </row>
    <row r="6" spans="1:15" ht="17.100000000000001" customHeight="1" x14ac:dyDescent="0.2">
      <c r="A6" s="1"/>
      <c r="B6" s="6"/>
      <c r="C6" s="10"/>
      <c r="D6" s="11"/>
      <c r="E6" s="12"/>
      <c r="F6" s="11"/>
      <c r="G6" s="10"/>
      <c r="H6" s="11"/>
      <c r="I6" s="11"/>
      <c r="J6" s="20"/>
      <c r="L6" s="135">
        <v>500</v>
      </c>
      <c r="M6" s="95" t="s">
        <v>22</v>
      </c>
      <c r="N6" s="136">
        <v>250.00000000099999</v>
      </c>
      <c r="O6" s="91">
        <v>2</v>
      </c>
    </row>
    <row r="7" spans="1:15" ht="15.75" x14ac:dyDescent="0.2">
      <c r="A7" s="2"/>
      <c r="B7" s="8"/>
      <c r="C7" s="34" t="s">
        <v>7</v>
      </c>
      <c r="D7" s="34"/>
      <c r="E7" s="35"/>
      <c r="F7" s="35"/>
      <c r="G7" s="35"/>
      <c r="H7" s="35"/>
      <c r="I7" s="36"/>
      <c r="J7" s="22"/>
      <c r="L7" s="135">
        <v>800</v>
      </c>
      <c r="M7" s="95" t="s">
        <v>22</v>
      </c>
      <c r="N7" s="136">
        <v>500.00000000099999</v>
      </c>
      <c r="O7" s="91">
        <v>1</v>
      </c>
    </row>
    <row r="8" spans="1:15" ht="15.75" thickBot="1" x14ac:dyDescent="0.25">
      <c r="A8" s="1"/>
      <c r="B8" s="7"/>
      <c r="C8" s="37"/>
      <c r="D8" s="38"/>
      <c r="E8" s="39"/>
      <c r="F8" s="38"/>
      <c r="G8" s="37"/>
      <c r="H8" s="38"/>
      <c r="I8" s="38"/>
      <c r="J8" s="21"/>
      <c r="L8" s="107"/>
      <c r="M8" s="96" t="s">
        <v>23</v>
      </c>
      <c r="N8" s="137">
        <v>800.00000000099999</v>
      </c>
      <c r="O8" s="92">
        <v>0</v>
      </c>
    </row>
    <row r="9" spans="1:15" ht="33.950000000000003" customHeight="1" thickBot="1" x14ac:dyDescent="0.25">
      <c r="A9" s="1"/>
      <c r="B9" s="7"/>
      <c r="C9" s="3" t="str">
        <f>'Unos podataka'!G19</f>
        <v>Ukupna dužina vodotoka koje se nalazi pod uticajem</v>
      </c>
      <c r="D9" s="39" t="s">
        <v>1</v>
      </c>
      <c r="E9" s="3" t="str">
        <f>'Unos podataka'!C9</f>
        <v>Predviđena godišnja proizvodnja (MWh/a)</v>
      </c>
      <c r="F9" s="39" t="s">
        <v>3</v>
      </c>
      <c r="G9" s="3" t="s">
        <v>219</v>
      </c>
      <c r="H9" s="40"/>
      <c r="I9" s="728" t="str">
        <f>IF(G11="","",VLOOKUP(G11,N3:O8,2))</f>
        <v/>
      </c>
      <c r="J9" s="21"/>
    </row>
    <row r="10" spans="1:15" ht="9.9499999999999993" customHeight="1" thickBot="1" x14ac:dyDescent="0.25">
      <c r="A10" s="1"/>
      <c r="B10" s="7"/>
      <c r="C10" s="39"/>
      <c r="D10" s="40"/>
      <c r="E10" s="39"/>
      <c r="F10" s="40"/>
      <c r="G10" s="39"/>
      <c r="H10" s="40"/>
      <c r="I10" s="729"/>
      <c r="J10" s="21"/>
    </row>
    <row r="11" spans="1:15" ht="20.100000000000001" customHeight="1" thickBot="1" x14ac:dyDescent="0.25">
      <c r="A11" s="1"/>
      <c r="B11" s="7"/>
      <c r="C11" s="132">
        <f>'Unos podataka'!I19</f>
        <v>0</v>
      </c>
      <c r="D11" s="39" t="s">
        <v>1</v>
      </c>
      <c r="E11" s="133" t="str">
        <f>IF('Unos podataka'!E9="","",'Unos podataka'!E9/1000)</f>
        <v/>
      </c>
      <c r="F11" s="39" t="s">
        <v>3</v>
      </c>
      <c r="G11" s="185" t="str">
        <f>IF(OR(C11="",E11=""),"",C11/E11)</f>
        <v/>
      </c>
      <c r="H11" s="40"/>
      <c r="I11" s="730"/>
      <c r="J11" s="21"/>
    </row>
    <row r="12" spans="1:15" ht="15.75" thickBot="1" x14ac:dyDescent="0.25">
      <c r="A12" s="1"/>
      <c r="B12" s="31"/>
      <c r="C12" s="41"/>
      <c r="D12" s="19"/>
      <c r="E12" s="42"/>
      <c r="F12" s="19"/>
      <c r="G12" s="19"/>
      <c r="H12" s="19"/>
      <c r="I12" s="19"/>
      <c r="J12" s="23"/>
    </row>
    <row r="13" spans="1:15" ht="18" x14ac:dyDescent="0.2">
      <c r="A13" s="1"/>
      <c r="B13" s="1"/>
      <c r="C13" s="26"/>
      <c r="D13" s="26"/>
      <c r="E13" s="26"/>
      <c r="F13" s="26"/>
      <c r="G13" s="26"/>
      <c r="H13" s="26"/>
      <c r="I13" s="26"/>
      <c r="J13" s="1"/>
    </row>
    <row r="15" spans="1:15" ht="23.25" x14ac:dyDescent="0.35">
      <c r="B15" s="86"/>
    </row>
    <row r="18" spans="9:9" x14ac:dyDescent="0.2">
      <c r="I18" s="61"/>
    </row>
  </sheetData>
  <mergeCells count="3">
    <mergeCell ref="L2:N2"/>
    <mergeCell ref="C3:I3"/>
    <mergeCell ref="I9:I1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101.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221</v>
      </c>
      <c r="D3" s="731"/>
      <c r="E3" s="30"/>
      <c r="H3" s="80">
        <v>0</v>
      </c>
    </row>
    <row r="4" spans="1:8" ht="17.100000000000001" customHeight="1" thickBot="1" x14ac:dyDescent="0.3">
      <c r="A4" s="1"/>
      <c r="B4" s="31"/>
      <c r="C4" s="32"/>
      <c r="D4" s="32"/>
      <c r="E4" s="23"/>
      <c r="H4" s="80">
        <v>1</v>
      </c>
    </row>
    <row r="5" spans="1:8" ht="17.100000000000001" customHeight="1" thickBot="1" x14ac:dyDescent="0.3">
      <c r="A5" s="1"/>
      <c r="B5" s="1"/>
      <c r="C5" s="26"/>
      <c r="D5" s="26"/>
      <c r="E5" s="1"/>
      <c r="H5" s="80">
        <v>2</v>
      </c>
    </row>
    <row r="6" spans="1:8" ht="17.100000000000001" customHeight="1" thickBot="1" x14ac:dyDescent="0.3">
      <c r="A6" s="1"/>
      <c r="B6" s="6"/>
      <c r="C6" s="10"/>
      <c r="D6" s="11"/>
      <c r="E6" s="20"/>
      <c r="H6" s="80">
        <v>3</v>
      </c>
    </row>
    <row r="7" spans="1:8" ht="17.100000000000001" customHeight="1" thickBot="1" x14ac:dyDescent="0.3">
      <c r="A7" s="2"/>
      <c r="B7" s="8"/>
      <c r="C7" s="111" t="s">
        <v>116</v>
      </c>
      <c r="D7" s="113" t="s">
        <v>188</v>
      </c>
      <c r="E7" s="22"/>
      <c r="H7" s="80">
        <v>4</v>
      </c>
    </row>
    <row r="8" spans="1:8" ht="33.950000000000003" customHeight="1" thickBot="1" x14ac:dyDescent="0.3">
      <c r="A8" s="1"/>
      <c r="B8" s="7"/>
      <c r="C8" s="115">
        <v>0</v>
      </c>
      <c r="D8" s="116" t="s">
        <v>225</v>
      </c>
      <c r="E8" s="21"/>
      <c r="H8" s="80">
        <v>5</v>
      </c>
    </row>
    <row r="9" spans="1:8" ht="33.950000000000003" customHeight="1" thickBot="1" x14ac:dyDescent="0.3">
      <c r="A9" s="1"/>
      <c r="B9" s="7"/>
      <c r="C9" s="115">
        <v>1</v>
      </c>
      <c r="D9" s="116" t="s">
        <v>226</v>
      </c>
      <c r="E9" s="21"/>
      <c r="H9" s="80" t="s">
        <v>118</v>
      </c>
    </row>
    <row r="10" spans="1:8" ht="33.950000000000003" customHeight="1" thickBot="1" x14ac:dyDescent="0.3">
      <c r="A10" s="1"/>
      <c r="B10" s="7"/>
      <c r="C10" s="115">
        <v>2</v>
      </c>
      <c r="D10" s="116" t="s">
        <v>227</v>
      </c>
      <c r="E10" s="21"/>
    </row>
    <row r="11" spans="1:8" ht="33.950000000000003" customHeight="1" thickBot="1" x14ac:dyDescent="0.3">
      <c r="A11" s="1"/>
      <c r="B11" s="7"/>
      <c r="C11" s="115">
        <v>3</v>
      </c>
      <c r="D11" s="116" t="s">
        <v>228</v>
      </c>
      <c r="E11" s="21"/>
    </row>
    <row r="12" spans="1:8" ht="33.950000000000003" customHeight="1" thickBot="1" x14ac:dyDescent="0.3">
      <c r="A12" s="1"/>
      <c r="B12" s="7"/>
      <c r="C12" s="115">
        <v>4</v>
      </c>
      <c r="D12" s="116" t="s">
        <v>229</v>
      </c>
      <c r="E12" s="21"/>
    </row>
    <row r="13" spans="1:8" ht="33.950000000000003" customHeight="1" thickBot="1" x14ac:dyDescent="0.3">
      <c r="A13" s="1"/>
      <c r="B13" s="7"/>
      <c r="C13" s="114">
        <v>5</v>
      </c>
      <c r="D13" s="112" t="s">
        <v>230</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9" priority="1">
      <formula>$C$15&lt;&gt;$H$9</formula>
    </cfRule>
  </conditionalFormatting>
  <dataValidations count="1">
    <dataValidation type="list" allowBlank="1" showInputMessage="1" showErrorMessage="1" errorTitle="Wrong value!" error="Only integer values between 0 and 5 allowed." prompt="Izaberite ocjenu" sqref="C15">
      <formula1>$H$3:$H$9</formula1>
    </dataValidation>
  </dataValidation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231</v>
      </c>
      <c r="D3" s="731"/>
      <c r="E3" s="30"/>
      <c r="H3" s="80">
        <v>0</v>
      </c>
    </row>
    <row r="4" spans="1:8" ht="17.100000000000001" customHeight="1" thickBot="1" x14ac:dyDescent="0.3">
      <c r="A4" s="1"/>
      <c r="B4" s="31"/>
      <c r="C4" s="32"/>
      <c r="D4" s="32"/>
      <c r="E4" s="23"/>
      <c r="H4" s="80">
        <v>1</v>
      </c>
    </row>
    <row r="5" spans="1:8" ht="17.100000000000001" customHeight="1" thickBot="1" x14ac:dyDescent="0.3">
      <c r="A5" s="1"/>
      <c r="B5" s="1"/>
      <c r="C5" s="26"/>
      <c r="D5" s="26"/>
      <c r="E5" s="1"/>
      <c r="H5" s="80">
        <v>2</v>
      </c>
    </row>
    <row r="6" spans="1:8" ht="17.100000000000001" customHeight="1" thickBot="1" x14ac:dyDescent="0.3">
      <c r="A6" s="1"/>
      <c r="B6" s="6"/>
      <c r="C6" s="10"/>
      <c r="D6" s="11"/>
      <c r="E6" s="20"/>
      <c r="H6" s="80">
        <v>3</v>
      </c>
    </row>
    <row r="7" spans="1:8" ht="17.100000000000001" customHeight="1" thickBot="1" x14ac:dyDescent="0.3">
      <c r="A7" s="2"/>
      <c r="B7" s="8"/>
      <c r="C7" s="111" t="s">
        <v>116</v>
      </c>
      <c r="D7" s="113" t="s">
        <v>188</v>
      </c>
      <c r="E7" s="22"/>
      <c r="H7" s="80">
        <v>4</v>
      </c>
    </row>
    <row r="8" spans="1:8" ht="33.950000000000003" customHeight="1" thickBot="1" x14ac:dyDescent="0.3">
      <c r="A8" s="1"/>
      <c r="B8" s="7"/>
      <c r="C8" s="115">
        <v>0</v>
      </c>
      <c r="D8" s="116" t="s">
        <v>232</v>
      </c>
      <c r="E8" s="21"/>
      <c r="H8" s="80">
        <v>5</v>
      </c>
    </row>
    <row r="9" spans="1:8" ht="33.950000000000003" customHeight="1" thickBot="1" x14ac:dyDescent="0.3">
      <c r="A9" s="1"/>
      <c r="B9" s="7"/>
      <c r="C9" s="115">
        <v>1</v>
      </c>
      <c r="D9" s="116" t="s">
        <v>233</v>
      </c>
      <c r="E9" s="21"/>
      <c r="H9" s="80" t="s">
        <v>118</v>
      </c>
    </row>
    <row r="10" spans="1:8" ht="33.950000000000003" customHeight="1" thickBot="1" x14ac:dyDescent="0.3">
      <c r="A10" s="1"/>
      <c r="B10" s="7"/>
      <c r="C10" s="115">
        <v>2</v>
      </c>
      <c r="D10" s="116" t="s">
        <v>234</v>
      </c>
      <c r="E10" s="21"/>
    </row>
    <row r="11" spans="1:8" ht="33.950000000000003" customHeight="1" thickBot="1" x14ac:dyDescent="0.3">
      <c r="A11" s="1"/>
      <c r="B11" s="7"/>
      <c r="C11" s="115">
        <v>3</v>
      </c>
      <c r="D11" s="116" t="s">
        <v>235</v>
      </c>
      <c r="E11" s="21"/>
    </row>
    <row r="12" spans="1:8" ht="33.950000000000003" customHeight="1" thickBot="1" x14ac:dyDescent="0.3">
      <c r="A12" s="1"/>
      <c r="B12" s="7"/>
      <c r="C12" s="115">
        <v>4</v>
      </c>
      <c r="D12" s="116" t="s">
        <v>236</v>
      </c>
      <c r="E12" s="21"/>
    </row>
    <row r="13" spans="1:8" ht="33.950000000000003" customHeight="1" thickBot="1" x14ac:dyDescent="0.3">
      <c r="A13" s="1"/>
      <c r="B13" s="7"/>
      <c r="C13" s="114">
        <v>5</v>
      </c>
      <c r="D13" s="112" t="s">
        <v>237</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8" priority="1">
      <formula>$C$15&lt;&gt;$H$9</formula>
    </cfRule>
  </conditionalFormatting>
  <dataValidations count="1">
    <dataValidation type="list" allowBlank="1" showInputMessage="1" showErrorMessage="1" errorTitle="Wrong value!" error="Only integer values between 0 and 5 allowed." prompt="Izaberite ocjenu" sqref="C15">
      <formula1>$H$3:$H$9</formula1>
    </dataValidation>
  </dataValidation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238</v>
      </c>
      <c r="D3" s="731"/>
      <c r="E3" s="30"/>
      <c r="H3" s="80">
        <v>0</v>
      </c>
    </row>
    <row r="4" spans="1:8" ht="17.100000000000001" customHeight="1" thickBot="1" x14ac:dyDescent="0.3">
      <c r="A4" s="1"/>
      <c r="B4" s="31"/>
      <c r="C4" s="32"/>
      <c r="D4" s="32"/>
      <c r="E4" s="23"/>
      <c r="H4" s="80">
        <v>1</v>
      </c>
    </row>
    <row r="5" spans="1:8" ht="17.100000000000001" customHeight="1" thickBot="1" x14ac:dyDescent="0.3">
      <c r="A5" s="1"/>
      <c r="B5" s="1"/>
      <c r="C5" s="26"/>
      <c r="D5" s="26"/>
      <c r="E5" s="1"/>
      <c r="H5" s="80">
        <v>2</v>
      </c>
    </row>
    <row r="6" spans="1:8" ht="17.100000000000001" customHeight="1" thickBot="1" x14ac:dyDescent="0.3">
      <c r="A6" s="1"/>
      <c r="B6" s="6"/>
      <c r="C6" s="10"/>
      <c r="D6" s="11"/>
      <c r="E6" s="20"/>
      <c r="H6" s="80">
        <v>3</v>
      </c>
    </row>
    <row r="7" spans="1:8" ht="17.100000000000001" customHeight="1" thickBot="1" x14ac:dyDescent="0.3">
      <c r="A7" s="2"/>
      <c r="B7" s="8"/>
      <c r="C7" s="111" t="s">
        <v>116</v>
      </c>
      <c r="D7" s="113" t="s">
        <v>188</v>
      </c>
      <c r="E7" s="22"/>
      <c r="H7" s="80">
        <v>4</v>
      </c>
    </row>
    <row r="8" spans="1:8" ht="33.950000000000003" customHeight="1" thickBot="1" x14ac:dyDescent="0.3">
      <c r="A8" s="1"/>
      <c r="B8" s="7"/>
      <c r="C8" s="115">
        <v>0</v>
      </c>
      <c r="D8" s="116" t="s">
        <v>239</v>
      </c>
      <c r="E8" s="21"/>
      <c r="H8" s="80">
        <v>5</v>
      </c>
    </row>
    <row r="9" spans="1:8" ht="33.950000000000003" customHeight="1" thickBot="1" x14ac:dyDescent="0.3">
      <c r="A9" s="1"/>
      <c r="B9" s="7"/>
      <c r="C9" s="115">
        <v>1</v>
      </c>
      <c r="D9" s="116" t="s">
        <v>240</v>
      </c>
      <c r="E9" s="21"/>
      <c r="H9" s="80" t="s">
        <v>118</v>
      </c>
    </row>
    <row r="10" spans="1:8" ht="33.950000000000003" customHeight="1" thickBot="1" x14ac:dyDescent="0.3">
      <c r="A10" s="1"/>
      <c r="B10" s="7"/>
      <c r="C10" s="115">
        <v>2</v>
      </c>
      <c r="D10" s="116" t="s">
        <v>241</v>
      </c>
      <c r="E10" s="21"/>
    </row>
    <row r="11" spans="1:8" ht="33.950000000000003" customHeight="1" thickBot="1" x14ac:dyDescent="0.3">
      <c r="A11" s="1"/>
      <c r="B11" s="7"/>
      <c r="C11" s="115">
        <v>3</v>
      </c>
      <c r="D11" s="116" t="s">
        <v>242</v>
      </c>
      <c r="E11" s="21"/>
    </row>
    <row r="12" spans="1:8" ht="33.950000000000003" customHeight="1" thickBot="1" x14ac:dyDescent="0.3">
      <c r="A12" s="1"/>
      <c r="B12" s="7"/>
      <c r="C12" s="115">
        <v>4</v>
      </c>
      <c r="D12" s="116" t="s">
        <v>243</v>
      </c>
      <c r="E12" s="21"/>
    </row>
    <row r="13" spans="1:8" ht="33.950000000000003" customHeight="1" thickBot="1" x14ac:dyDescent="0.3">
      <c r="A13" s="1"/>
      <c r="B13" s="7"/>
      <c r="C13" s="114">
        <v>5</v>
      </c>
      <c r="D13" s="112" t="s">
        <v>244</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7" priority="1">
      <formula>$C$15&lt;&gt;$H$9</formula>
    </cfRule>
  </conditionalFormatting>
  <dataValidations count="1">
    <dataValidation type="list" allowBlank="1" showInputMessage="1" showErrorMessage="1" errorTitle="Wrong value!" error="Only integer values between 0 and 5 allowed." prompt="Izaberite ocjenu" sqref="C15">
      <formula1>$H$3:$H$9</formula1>
    </dataValidation>
  </dataValidation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9"/>
  <sheetViews>
    <sheetView showGridLines="0" zoomScaleNormal="100" workbookViewId="0">
      <selection activeCell="K15" sqref="K15"/>
    </sheetView>
  </sheetViews>
  <sheetFormatPr defaultColWidth="10.875" defaultRowHeight="15" x14ac:dyDescent="0.2"/>
  <cols>
    <col min="1" max="2" width="3.875" style="80" customWidth="1"/>
    <col min="3" max="3" width="35.625" style="80" customWidth="1"/>
    <col min="4" max="5" width="10.875" style="80"/>
    <col min="6" max="6" width="12.375" style="80" customWidth="1"/>
    <col min="7" max="7" width="3.875" style="80" customWidth="1"/>
    <col min="8" max="16384" width="10.875" style="80"/>
  </cols>
  <sheetData>
    <row r="1" spans="2:7" ht="15.75" thickBot="1" x14ac:dyDescent="0.25"/>
    <row r="2" spans="2:7" x14ac:dyDescent="0.2">
      <c r="B2" s="6"/>
      <c r="C2" s="10"/>
      <c r="D2" s="11"/>
      <c r="E2" s="12"/>
      <c r="F2" s="11"/>
      <c r="G2" s="20"/>
    </row>
    <row r="3" spans="2:7" ht="15.75" x14ac:dyDescent="0.2">
      <c r="B3" s="7"/>
      <c r="C3" s="33" t="s">
        <v>546</v>
      </c>
      <c r="D3" s="33"/>
      <c r="E3" s="33"/>
      <c r="F3" s="33"/>
      <c r="G3" s="30"/>
    </row>
    <row r="4" spans="2:7" ht="18.75" thickBot="1" x14ac:dyDescent="0.25">
      <c r="B4" s="31"/>
      <c r="C4" s="32"/>
      <c r="D4" s="32"/>
      <c r="E4" s="32"/>
      <c r="F4" s="32"/>
      <c r="G4" s="23"/>
    </row>
    <row r="5" spans="2:7" ht="15.75" thickBot="1" x14ac:dyDescent="0.25"/>
    <row r="6" spans="2:7" ht="15.75" thickBot="1" x14ac:dyDescent="0.25">
      <c r="B6" s="6"/>
      <c r="C6" s="11"/>
      <c r="D6" s="10"/>
      <c r="E6" s="10"/>
      <c r="F6" s="11"/>
      <c r="G6" s="20"/>
    </row>
    <row r="7" spans="2:7" ht="32.25" thickBot="1" x14ac:dyDescent="0.25">
      <c r="B7" s="7"/>
      <c r="C7" s="62" t="s">
        <v>5</v>
      </c>
      <c r="D7" s="63" t="s">
        <v>183</v>
      </c>
      <c r="E7" s="63" t="s">
        <v>184</v>
      </c>
      <c r="F7" s="63" t="s">
        <v>185</v>
      </c>
      <c r="G7" s="21"/>
    </row>
    <row r="8" spans="2:7" ht="17.100000000000001" customHeight="1" x14ac:dyDescent="0.2">
      <c r="B8" s="8"/>
      <c r="C8" s="77" t="s">
        <v>548</v>
      </c>
      <c r="D8" s="84" t="str">
        <f>'UV1 -Iskorištenost hidroe. pot.'!C15</f>
        <v>Izaberite</v>
      </c>
      <c r="E8" s="78">
        <v>0.3</v>
      </c>
      <c r="F8" s="79" t="str">
        <f>IF(ISNUMBER(D8),E8*D8,"")</f>
        <v/>
      </c>
      <c r="G8" s="675">
        <f>IF(F8&lt;&gt;"",1,0)</f>
        <v>0</v>
      </c>
    </row>
    <row r="9" spans="2:7" ht="17.100000000000001" customHeight="1" x14ac:dyDescent="0.2">
      <c r="B9" s="7"/>
      <c r="C9" s="77" t="s">
        <v>549</v>
      </c>
      <c r="D9" s="84" t="str">
        <f>'UV2 -Karakteristike HE'!G41</f>
        <v/>
      </c>
      <c r="E9" s="78">
        <v>0.25</v>
      </c>
      <c r="F9" s="79" t="str">
        <f>IF(D9="","",E9*D9)</f>
        <v/>
      </c>
      <c r="G9" s="675">
        <f t="shared" ref="G9:G13" si="0">IF(F9&lt;&gt;"",1,0)</f>
        <v>0</v>
      </c>
    </row>
    <row r="10" spans="2:7" ht="17.100000000000001" customHeight="1" x14ac:dyDescent="0.2">
      <c r="B10" s="7"/>
      <c r="C10" s="77" t="s">
        <v>550</v>
      </c>
      <c r="D10" s="84" t="str">
        <f>'UV3 - Efikasnost iskoriš. vode'!I9</f>
        <v/>
      </c>
      <c r="E10" s="78">
        <v>0.15</v>
      </c>
      <c r="F10" s="79" t="str">
        <f>IF(D10="","",E10*D10)</f>
        <v/>
      </c>
      <c r="G10" s="675">
        <f t="shared" si="0"/>
        <v>0</v>
      </c>
    </row>
    <row r="11" spans="2:7" x14ac:dyDescent="0.2">
      <c r="B11" s="7"/>
      <c r="C11" s="77" t="s">
        <v>551</v>
      </c>
      <c r="D11" s="84" t="str">
        <f>'UV4 - Promjena pot. rizika'!C15</f>
        <v>Izaberite</v>
      </c>
      <c r="E11" s="78">
        <v>0.1</v>
      </c>
      <c r="F11" s="79" t="str">
        <f>IF(ISNUMBER(D11),E11*D11,"")</f>
        <v/>
      </c>
      <c r="G11" s="675">
        <f t="shared" si="0"/>
        <v>0</v>
      </c>
    </row>
    <row r="12" spans="2:7" x14ac:dyDescent="0.2">
      <c r="B12" s="7"/>
      <c r="C12" s="77" t="s">
        <v>552</v>
      </c>
      <c r="D12" s="84" t="str">
        <f>'UV5 - Utjecaj na kv. vode'!C15</f>
        <v>Izaberite</v>
      </c>
      <c r="E12" s="78">
        <v>0.1</v>
      </c>
      <c r="F12" s="79" t="str">
        <f>IF(ISNUMBER(D12),E12*D12,"")</f>
        <v/>
      </c>
      <c r="G12" s="675">
        <f t="shared" si="0"/>
        <v>0</v>
      </c>
    </row>
    <row r="13" spans="2:7" ht="15.75" thickBot="1" x14ac:dyDescent="0.25">
      <c r="B13" s="7"/>
      <c r="C13" s="77" t="s">
        <v>553</v>
      </c>
      <c r="D13" s="84" t="str">
        <f>'UV6 - Utjecaj na podzemen vode'!C15</f>
        <v>Izaberite</v>
      </c>
      <c r="E13" s="683">
        <v>0.1</v>
      </c>
      <c r="F13" s="79" t="str">
        <f>IF(ISNUMBER(D13),E13*D13,"")</f>
        <v/>
      </c>
      <c r="G13" s="675">
        <f t="shared" si="0"/>
        <v>0</v>
      </c>
    </row>
    <row r="14" spans="2:7" ht="16.5" thickBot="1" x14ac:dyDescent="0.25">
      <c r="B14" s="8"/>
      <c r="C14" s="81" t="s">
        <v>189</v>
      </c>
      <c r="D14" s="83"/>
      <c r="E14" s="685">
        <f>SUM(E8:E13)</f>
        <v>1</v>
      </c>
      <c r="F14" s="85" t="str">
        <f>IF(SUM(G8:G13)=6,SUM(F8:F13),"")</f>
        <v/>
      </c>
      <c r="G14" s="22"/>
    </row>
    <row r="15" spans="2:7" ht="15.75" thickBot="1" x14ac:dyDescent="0.25">
      <c r="B15" s="31"/>
      <c r="C15" s="18"/>
      <c r="D15" s="18"/>
      <c r="E15" s="18"/>
      <c r="F15" s="18"/>
      <c r="G15" s="23"/>
    </row>
    <row r="17" spans="4:5" x14ac:dyDescent="0.2">
      <c r="D17" s="556" t="str">
        <f>IF(SUM(G8:G13)=6,F14/5,"-")</f>
        <v>-</v>
      </c>
      <c r="E17" s="80" t="s">
        <v>547</v>
      </c>
    </row>
    <row r="19" spans="4:5" x14ac:dyDescent="0.2">
      <c r="E19" s="684"/>
    </row>
  </sheetData>
  <pageMargins left="0.7" right="0.7" top="0.78740157499999996" bottom="0.78740157499999996"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245</v>
      </c>
      <c r="D3" s="731"/>
      <c r="E3" s="30"/>
      <c r="H3" s="80">
        <v>1</v>
      </c>
    </row>
    <row r="4" spans="1:8" ht="17.100000000000001" customHeight="1" thickBot="1" x14ac:dyDescent="0.3">
      <c r="A4" s="1"/>
      <c r="B4" s="31"/>
      <c r="C4" s="32"/>
      <c r="D4" s="32"/>
      <c r="E4" s="23"/>
      <c r="H4" s="80">
        <v>2</v>
      </c>
    </row>
    <row r="5" spans="1:8" ht="17.100000000000001" customHeight="1" thickBot="1" x14ac:dyDescent="0.3">
      <c r="A5" s="1"/>
      <c r="B5" s="1"/>
      <c r="C5" s="26"/>
      <c r="D5" s="26"/>
      <c r="E5" s="1"/>
      <c r="H5" s="80">
        <v>3</v>
      </c>
    </row>
    <row r="6" spans="1:8" ht="17.100000000000001" customHeight="1" thickBot="1" x14ac:dyDescent="0.3">
      <c r="A6" s="1"/>
      <c r="B6" s="6"/>
      <c r="C6" s="10"/>
      <c r="D6" s="11"/>
      <c r="E6" s="20"/>
      <c r="H6" s="80">
        <v>4</v>
      </c>
    </row>
    <row r="7" spans="1:8" ht="17.100000000000001" customHeight="1" thickBot="1" x14ac:dyDescent="0.3">
      <c r="A7" s="2"/>
      <c r="B7" s="8"/>
      <c r="C7" s="111" t="s">
        <v>116</v>
      </c>
      <c r="D7" s="113" t="s">
        <v>188</v>
      </c>
      <c r="E7" s="22"/>
      <c r="H7" s="80">
        <v>5</v>
      </c>
    </row>
    <row r="8" spans="1:8" ht="33.950000000000003" customHeight="1" thickBot="1" x14ac:dyDescent="0.3">
      <c r="A8" s="1"/>
      <c r="B8" s="7"/>
      <c r="C8" s="115">
        <v>0</v>
      </c>
      <c r="D8" s="116" t="s">
        <v>246</v>
      </c>
      <c r="E8" s="21"/>
      <c r="H8" s="80" t="s">
        <v>118</v>
      </c>
    </row>
    <row r="9" spans="1:8" ht="33.950000000000003" customHeight="1" thickBot="1" x14ac:dyDescent="0.3">
      <c r="A9" s="1"/>
      <c r="B9" s="7"/>
      <c r="C9" s="115">
        <v>1</v>
      </c>
      <c r="D9" s="116" t="s">
        <v>247</v>
      </c>
      <c r="E9" s="21"/>
    </row>
    <row r="10" spans="1:8" ht="33.950000000000003" customHeight="1" thickBot="1" x14ac:dyDescent="0.3">
      <c r="A10" s="1"/>
      <c r="B10" s="7"/>
      <c r="C10" s="115">
        <v>2</v>
      </c>
      <c r="D10" s="116" t="s">
        <v>248</v>
      </c>
      <c r="E10" s="21"/>
    </row>
    <row r="11" spans="1:8" ht="33.950000000000003" customHeight="1" thickBot="1" x14ac:dyDescent="0.3">
      <c r="A11" s="1"/>
      <c r="B11" s="7"/>
      <c r="C11" s="115">
        <v>3</v>
      </c>
      <c r="D11" s="116" t="s">
        <v>249</v>
      </c>
      <c r="E11" s="21"/>
    </row>
    <row r="12" spans="1:8" ht="33.950000000000003" customHeight="1" thickBot="1" x14ac:dyDescent="0.3">
      <c r="A12" s="1"/>
      <c r="B12" s="7"/>
      <c r="C12" s="115">
        <v>4</v>
      </c>
      <c r="D12" s="116" t="s">
        <v>250</v>
      </c>
      <c r="E12" s="21"/>
    </row>
    <row r="13" spans="1:8" ht="33.950000000000003" customHeight="1" thickBot="1" x14ac:dyDescent="0.3">
      <c r="A13" s="1"/>
      <c r="B13" s="7"/>
      <c r="C13" s="114">
        <v>5</v>
      </c>
      <c r="D13" s="112" t="s">
        <v>251</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6"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252</v>
      </c>
      <c r="D3" s="731"/>
      <c r="E3" s="30"/>
      <c r="H3" s="80">
        <v>1</v>
      </c>
    </row>
    <row r="4" spans="1:8" ht="17.100000000000001" customHeight="1" thickBot="1" x14ac:dyDescent="0.3">
      <c r="A4" s="1"/>
      <c r="B4" s="31"/>
      <c r="C4" s="32"/>
      <c r="D4" s="32"/>
      <c r="E4" s="23"/>
      <c r="H4" s="80">
        <v>2</v>
      </c>
    </row>
    <row r="5" spans="1:8" ht="17.100000000000001" customHeight="1" thickBot="1" x14ac:dyDescent="0.3">
      <c r="A5" s="1"/>
      <c r="B5" s="1"/>
      <c r="C5" s="26"/>
      <c r="D5" s="26"/>
      <c r="E5" s="1"/>
      <c r="H5" s="80">
        <v>3</v>
      </c>
    </row>
    <row r="6" spans="1:8" ht="17.100000000000001" customHeight="1" thickBot="1" x14ac:dyDescent="0.3">
      <c r="A6" s="1"/>
      <c r="B6" s="6"/>
      <c r="C6" s="10"/>
      <c r="D6" s="11"/>
      <c r="E6" s="20"/>
      <c r="H6" s="80">
        <v>4</v>
      </c>
    </row>
    <row r="7" spans="1:8" ht="17.100000000000001" customHeight="1" thickBot="1" x14ac:dyDescent="0.3">
      <c r="A7" s="2"/>
      <c r="B7" s="8"/>
      <c r="C7" s="111" t="s">
        <v>116</v>
      </c>
      <c r="D7" s="113" t="s">
        <v>188</v>
      </c>
      <c r="E7" s="22"/>
      <c r="H7" s="80">
        <v>5</v>
      </c>
    </row>
    <row r="8" spans="1:8" ht="33.950000000000003" customHeight="1" thickBot="1" x14ac:dyDescent="0.3">
      <c r="A8" s="1"/>
      <c r="B8" s="7"/>
      <c r="C8" s="115">
        <v>0</v>
      </c>
      <c r="D8" s="116" t="s">
        <v>246</v>
      </c>
      <c r="E8" s="21"/>
      <c r="H8" s="80" t="s">
        <v>118</v>
      </c>
    </row>
    <row r="9" spans="1:8" ht="33.950000000000003" customHeight="1" thickBot="1" x14ac:dyDescent="0.3">
      <c r="A9" s="1"/>
      <c r="B9" s="7"/>
      <c r="C9" s="115">
        <v>1</v>
      </c>
      <c r="D9" s="116" t="s">
        <v>253</v>
      </c>
      <c r="E9" s="21"/>
    </row>
    <row r="10" spans="1:8" ht="33.950000000000003" customHeight="1" thickBot="1" x14ac:dyDescent="0.3">
      <c r="A10" s="1"/>
      <c r="B10" s="7"/>
      <c r="C10" s="115">
        <v>2</v>
      </c>
      <c r="D10" s="116" t="s">
        <v>254</v>
      </c>
      <c r="E10" s="21"/>
    </row>
    <row r="11" spans="1:8" ht="33.950000000000003" customHeight="1" thickBot="1" x14ac:dyDescent="0.3">
      <c r="A11" s="1"/>
      <c r="B11" s="7"/>
      <c r="C11" s="115">
        <v>3</v>
      </c>
      <c r="D11" s="116" t="s">
        <v>255</v>
      </c>
      <c r="E11" s="21"/>
    </row>
    <row r="12" spans="1:8" ht="33.950000000000003" customHeight="1" thickBot="1" x14ac:dyDescent="0.3">
      <c r="A12" s="1"/>
      <c r="B12" s="7"/>
      <c r="C12" s="115">
        <v>4</v>
      </c>
      <c r="D12" s="116" t="s">
        <v>256</v>
      </c>
      <c r="E12" s="21"/>
    </row>
    <row r="13" spans="1:8" ht="33.950000000000003" customHeight="1" thickBot="1" x14ac:dyDescent="0.3">
      <c r="A13" s="1"/>
      <c r="B13" s="7"/>
      <c r="C13" s="114">
        <v>5</v>
      </c>
      <c r="D13" s="112" t="s">
        <v>257</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5"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258</v>
      </c>
      <c r="D3" s="731"/>
      <c r="E3" s="30"/>
      <c r="H3" s="80">
        <v>1</v>
      </c>
    </row>
    <row r="4" spans="1:8" ht="17.100000000000001" customHeight="1" thickBot="1" x14ac:dyDescent="0.3">
      <c r="A4" s="1"/>
      <c r="B4" s="31"/>
      <c r="C4" s="32"/>
      <c r="D4" s="32"/>
      <c r="E4" s="23"/>
      <c r="H4" s="80">
        <v>2</v>
      </c>
    </row>
    <row r="5" spans="1:8" ht="17.100000000000001" customHeight="1" thickBot="1" x14ac:dyDescent="0.3">
      <c r="A5" s="1"/>
      <c r="B5" s="1"/>
      <c r="C5" s="26"/>
      <c r="D5" s="26"/>
      <c r="E5" s="1"/>
      <c r="H5" s="80">
        <v>3</v>
      </c>
    </row>
    <row r="6" spans="1:8" ht="17.100000000000001" customHeight="1" thickBot="1" x14ac:dyDescent="0.3">
      <c r="A6" s="1"/>
      <c r="B6" s="6"/>
      <c r="C6" s="10"/>
      <c r="D6" s="11"/>
      <c r="E6" s="20"/>
      <c r="H6" s="80">
        <v>4</v>
      </c>
    </row>
    <row r="7" spans="1:8" ht="17.100000000000001" customHeight="1" thickBot="1" x14ac:dyDescent="0.3">
      <c r="A7" s="2"/>
      <c r="B7" s="8"/>
      <c r="C7" s="111" t="s">
        <v>116</v>
      </c>
      <c r="D7" s="113" t="s">
        <v>188</v>
      </c>
      <c r="E7" s="22"/>
      <c r="H7" s="80">
        <v>5</v>
      </c>
    </row>
    <row r="8" spans="1:8" ht="33.950000000000003" customHeight="1" thickBot="1" x14ac:dyDescent="0.3">
      <c r="A8" s="1"/>
      <c r="B8" s="7"/>
      <c r="C8" s="115">
        <v>0</v>
      </c>
      <c r="D8" s="116" t="s">
        <v>259</v>
      </c>
      <c r="E8" s="21"/>
      <c r="H8" s="80" t="s">
        <v>118</v>
      </c>
    </row>
    <row r="9" spans="1:8" ht="33.950000000000003" customHeight="1" thickBot="1" x14ac:dyDescent="0.3">
      <c r="A9" s="1"/>
      <c r="B9" s="7"/>
      <c r="C9" s="115">
        <v>1</v>
      </c>
      <c r="D9" s="116" t="s">
        <v>260</v>
      </c>
      <c r="E9" s="21"/>
    </row>
    <row r="10" spans="1:8" ht="33.950000000000003" customHeight="1" thickBot="1" x14ac:dyDescent="0.3">
      <c r="A10" s="1"/>
      <c r="B10" s="7"/>
      <c r="C10" s="115">
        <v>2</v>
      </c>
      <c r="D10" s="116" t="s">
        <v>261</v>
      </c>
      <c r="E10" s="21"/>
    </row>
    <row r="11" spans="1:8" ht="33.950000000000003" customHeight="1" thickBot="1" x14ac:dyDescent="0.3">
      <c r="A11" s="1"/>
      <c r="B11" s="7"/>
      <c r="C11" s="115">
        <v>3</v>
      </c>
      <c r="D11" s="116" t="s">
        <v>262</v>
      </c>
      <c r="E11" s="21"/>
    </row>
    <row r="12" spans="1:8" ht="33.950000000000003" customHeight="1" thickBot="1" x14ac:dyDescent="0.3">
      <c r="A12" s="1"/>
      <c r="B12" s="7"/>
      <c r="C12" s="115">
        <v>4</v>
      </c>
      <c r="D12" s="116" t="s">
        <v>263</v>
      </c>
      <c r="E12" s="21"/>
    </row>
    <row r="13" spans="1:8" ht="33.950000000000003" customHeight="1" thickBot="1" x14ac:dyDescent="0.3">
      <c r="A13" s="1"/>
      <c r="B13" s="7"/>
      <c r="C13" s="114">
        <v>5</v>
      </c>
      <c r="D13" s="112" t="s">
        <v>264</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4"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55"/>
  <sheetViews>
    <sheetView showGridLines="0" topLeftCell="A16" workbookViewId="0">
      <selection activeCell="C53" sqref="C53"/>
    </sheetView>
  </sheetViews>
  <sheetFormatPr defaultColWidth="7.875" defaultRowHeight="12.75" outlineLevelCol="1" x14ac:dyDescent="0.2"/>
  <cols>
    <col min="1" max="2" width="4" style="480" customWidth="1"/>
    <col min="3" max="3" width="25.5" style="480" customWidth="1"/>
    <col min="4" max="4" width="15.875" style="480" customWidth="1"/>
    <col min="5" max="5" width="15.125" style="480" customWidth="1"/>
    <col min="6" max="6" width="18.5" style="480" customWidth="1"/>
    <col min="7" max="7" width="15.875" style="480" customWidth="1"/>
    <col min="8" max="8" width="7.875" style="480"/>
    <col min="9" max="9" width="18.875" style="480" customWidth="1"/>
    <col min="10" max="18" width="9.125" style="480" customWidth="1"/>
    <col min="19" max="21" width="7.875" style="480"/>
    <col min="22" max="30" width="7.875" style="480" customWidth="1" outlineLevel="1"/>
    <col min="31" max="184" width="7.875" style="480"/>
    <col min="185" max="185" width="4" style="480" customWidth="1"/>
    <col min="186" max="186" width="2" style="480" customWidth="1"/>
    <col min="187" max="187" width="25.5" style="480" customWidth="1"/>
    <col min="188" max="188" width="15.875" style="480" customWidth="1"/>
    <col min="189" max="189" width="15.125" style="480" customWidth="1"/>
    <col min="190" max="190" width="18.5" style="480" customWidth="1"/>
    <col min="191" max="191" width="15.875" style="480" customWidth="1"/>
    <col min="192" max="192" width="2" style="480" customWidth="1"/>
    <col min="193" max="198" width="7.875" style="480"/>
    <col min="199" max="199" width="8.375" style="480" customWidth="1"/>
    <col min="200" max="16384" width="7.875" style="480"/>
  </cols>
  <sheetData>
    <row r="1" spans="2:30" s="463" customFormat="1" ht="13.5" thickBot="1" x14ac:dyDescent="0.3">
      <c r="D1" s="464"/>
      <c r="E1" s="464"/>
      <c r="G1" s="465"/>
    </row>
    <row r="2" spans="2:30" s="463" customFormat="1" ht="23.1" customHeight="1" x14ac:dyDescent="0.25">
      <c r="B2" s="482"/>
      <c r="C2" s="483"/>
      <c r="D2" s="484"/>
      <c r="E2" s="484"/>
      <c r="F2" s="485"/>
      <c r="G2" s="465"/>
      <c r="I2" s="708" t="str">
        <f>IF(SUM(V8:AD12)=45,"Procjena završena", "Procjena nije završena!")</f>
        <v>Procjena nije završena!</v>
      </c>
      <c r="J2" s="708"/>
      <c r="K2" s="708"/>
      <c r="L2" s="708"/>
      <c r="M2" s="708"/>
      <c r="N2" s="708"/>
      <c r="O2" s="708"/>
      <c r="P2" s="708"/>
      <c r="Q2" s="708"/>
      <c r="R2" s="708"/>
      <c r="V2" s="508" t="s">
        <v>61</v>
      </c>
    </row>
    <row r="3" spans="2:30" s="463" customFormat="1" ht="17.100000000000001" customHeight="1" x14ac:dyDescent="0.25">
      <c r="B3" s="486"/>
      <c r="C3" s="706" t="s">
        <v>72</v>
      </c>
      <c r="D3" s="707"/>
      <c r="E3" s="487" t="str">
        <f>'Unos podataka'!E5</f>
        <v>MHE NAZIV</v>
      </c>
      <c r="F3" s="488"/>
      <c r="G3" s="465"/>
      <c r="V3" s="548" t="s">
        <v>118</v>
      </c>
    </row>
    <row r="4" spans="2:30" s="463" customFormat="1" ht="24" thickBot="1" x14ac:dyDescent="0.3">
      <c r="B4" s="489"/>
      <c r="C4" s="490"/>
      <c r="D4" s="491"/>
      <c r="E4" s="491"/>
      <c r="F4" s="492"/>
      <c r="G4" s="465"/>
      <c r="I4" s="708" t="str">
        <f>IF(MAX('Eliminatorni kriteriji'!H9:H15)=3,"Ocjena eliminatornih kriterija nije završena!",IF(MAX('Eliminatorni kriteriji'!H9:H15)=2,"Pažnja: Postoji eliminatorni kriterij!","Ocjenjeni kriteriji nisu eliminatorni"))</f>
        <v>Ocjena eliminatornih kriterija nije završena!</v>
      </c>
      <c r="J4" s="708"/>
      <c r="K4" s="708"/>
      <c r="L4" s="708"/>
      <c r="M4" s="708"/>
      <c r="N4" s="708"/>
      <c r="O4" s="708"/>
      <c r="P4" s="708"/>
      <c r="Q4" s="708"/>
      <c r="R4" s="708"/>
    </row>
    <row r="5" spans="2:30" s="463" customFormat="1" ht="18.75" thickBot="1" x14ac:dyDescent="0.3">
      <c r="D5" s="466"/>
      <c r="E5" s="466"/>
      <c r="F5" s="466"/>
      <c r="G5" s="465"/>
      <c r="H5" s="466"/>
    </row>
    <row r="6" spans="2:30" s="470" customFormat="1" ht="17.100000000000001" customHeight="1" thickBot="1" x14ac:dyDescent="0.3">
      <c r="B6" s="467"/>
      <c r="C6" s="468"/>
      <c r="D6" s="468"/>
      <c r="E6" s="468"/>
      <c r="F6" s="469"/>
      <c r="H6" s="590"/>
      <c r="I6" s="600" t="s">
        <v>79</v>
      </c>
      <c r="J6" s="591"/>
      <c r="K6" s="591"/>
      <c r="L6" s="591"/>
      <c r="M6" s="591"/>
      <c r="N6" s="591"/>
      <c r="O6" s="591"/>
      <c r="P6" s="591"/>
      <c r="Q6" s="591"/>
      <c r="R6" s="591"/>
      <c r="S6" s="592"/>
    </row>
    <row r="7" spans="2:30" s="470" customFormat="1" ht="65.25" customHeight="1" thickBot="1" x14ac:dyDescent="0.25">
      <c r="B7" s="471"/>
      <c r="C7" s="496" t="s">
        <v>73</v>
      </c>
      <c r="D7" s="497" t="s">
        <v>190</v>
      </c>
      <c r="E7" s="497" t="s">
        <v>78</v>
      </c>
      <c r="F7" s="472"/>
      <c r="H7" s="593"/>
      <c r="I7" s="584"/>
      <c r="J7" s="586" t="s">
        <v>80</v>
      </c>
      <c r="K7" s="588" t="s">
        <v>81</v>
      </c>
      <c r="L7" s="588" t="s">
        <v>82</v>
      </c>
      <c r="M7" s="588" t="s">
        <v>83</v>
      </c>
      <c r="N7" s="588" t="s">
        <v>84</v>
      </c>
      <c r="O7" s="587" t="s">
        <v>85</v>
      </c>
      <c r="P7" s="588" t="s">
        <v>86</v>
      </c>
      <c r="Q7" s="588" t="s">
        <v>87</v>
      </c>
      <c r="R7" s="585" t="s">
        <v>88</v>
      </c>
      <c r="S7" s="594"/>
      <c r="V7" s="670" t="s">
        <v>96</v>
      </c>
    </row>
    <row r="8" spans="2:30" s="470" customFormat="1" ht="33.950000000000003" customHeight="1" thickBot="1" x14ac:dyDescent="0.3">
      <c r="B8" s="471"/>
      <c r="C8" s="473" t="s">
        <v>74</v>
      </c>
      <c r="D8" s="494" t="str">
        <f>'E - Ukupna ocjena'!F12</f>
        <v/>
      </c>
      <c r="E8" s="553">
        <v>0.25</v>
      </c>
      <c r="F8" s="671">
        <f>IF(D8&lt;&gt;"",1,0)</f>
        <v>0</v>
      </c>
      <c r="H8" s="593"/>
      <c r="I8" s="598" t="s">
        <v>74</v>
      </c>
      <c r="J8" s="558" t="str">
        <f>'E1 - Specifična investicija'!I9</f>
        <v/>
      </c>
      <c r="K8" s="558" t="str">
        <f>'E2 - Doprinos zaštiti klime'!I9</f>
        <v/>
      </c>
      <c r="L8" s="558" t="str">
        <f>'E3 - Priključak na d. mrežu'!I9</f>
        <v/>
      </c>
      <c r="M8" s="558" t="str">
        <f>'E4 - Dodatni efekti'!N14</f>
        <v/>
      </c>
      <c r="N8" s="581"/>
      <c r="O8" s="581"/>
      <c r="P8" s="581"/>
      <c r="Q8" s="581"/>
      <c r="R8" s="581"/>
      <c r="S8" s="594"/>
      <c r="V8" s="678">
        <f t="shared" ref="V8:Y12" si="0">IF(J8="",0,1)</f>
        <v>0</v>
      </c>
      <c r="W8" s="678">
        <f t="shared" si="0"/>
        <v>0</v>
      </c>
      <c r="X8" s="678">
        <f t="shared" si="0"/>
        <v>0</v>
      </c>
      <c r="Y8" s="678">
        <f t="shared" si="0"/>
        <v>0</v>
      </c>
      <c r="Z8" s="678">
        <v>1</v>
      </c>
      <c r="AA8" s="678">
        <v>1</v>
      </c>
      <c r="AB8" s="678">
        <v>1</v>
      </c>
      <c r="AC8" s="678">
        <v>1</v>
      </c>
      <c r="AD8" s="678">
        <v>1</v>
      </c>
    </row>
    <row r="9" spans="2:30" s="470" customFormat="1" ht="33.950000000000003" customHeight="1" thickBot="1" x14ac:dyDescent="0.3">
      <c r="B9" s="471"/>
      <c r="C9" s="473" t="s">
        <v>75</v>
      </c>
      <c r="D9" s="494" t="str">
        <f>'UV - Ukupna ocjena'!F14</f>
        <v/>
      </c>
      <c r="E9" s="553">
        <v>0.2</v>
      </c>
      <c r="F9" s="671">
        <f t="shared" ref="F9:F12" si="1">IF(D9&lt;&gt;"",1,0)</f>
        <v>0</v>
      </c>
      <c r="H9" s="593"/>
      <c r="I9" s="598" t="s">
        <v>75</v>
      </c>
      <c r="J9" s="558" t="str">
        <f>'UV1 -Iskorištenost hidroe. pot.'!C15</f>
        <v>Izaberite</v>
      </c>
      <c r="K9" s="558" t="str">
        <f>'UV2 -Karakteristike HE'!G41</f>
        <v/>
      </c>
      <c r="L9" s="558" t="str">
        <f>'UV3 - Efikasnost iskoriš. vode'!I9</f>
        <v/>
      </c>
      <c r="M9" s="558" t="str">
        <f>'UV4 - Promjena pot. rizika'!C15</f>
        <v>Izaberite</v>
      </c>
      <c r="N9" s="558" t="str">
        <f>'UV5 - Utjecaj na kv. vode'!C15</f>
        <v>Izaberite</v>
      </c>
      <c r="O9" s="560" t="str">
        <f>'UV6 - Utjecaj na podzemen vode'!C15</f>
        <v>Izaberite</v>
      </c>
      <c r="P9" s="581"/>
      <c r="Q9" s="581"/>
      <c r="R9" s="581"/>
      <c r="S9" s="594"/>
      <c r="V9" s="678">
        <f t="shared" si="0"/>
        <v>1</v>
      </c>
      <c r="W9" s="678">
        <f t="shared" si="0"/>
        <v>0</v>
      </c>
      <c r="X9" s="678">
        <f t="shared" si="0"/>
        <v>0</v>
      </c>
      <c r="Y9" s="678">
        <f t="shared" si="0"/>
        <v>1</v>
      </c>
      <c r="Z9" s="678">
        <f t="shared" ref="Z9:AA12" si="2">IF(N9="",0,1)</f>
        <v>1</v>
      </c>
      <c r="AA9" s="678">
        <f t="shared" si="2"/>
        <v>1</v>
      </c>
      <c r="AB9" s="678">
        <v>1</v>
      </c>
      <c r="AC9" s="678">
        <v>1</v>
      </c>
      <c r="AD9" s="678">
        <v>1</v>
      </c>
    </row>
    <row r="10" spans="2:30" s="470" customFormat="1" ht="33.950000000000003" customHeight="1" thickBot="1" x14ac:dyDescent="0.3">
      <c r="B10" s="471"/>
      <c r="C10" s="473" t="s">
        <v>97</v>
      </c>
      <c r="D10" s="494" t="str">
        <f>'PP - Ukupna ocjena'!E25</f>
        <v/>
      </c>
      <c r="E10" s="553">
        <v>0.1</v>
      </c>
      <c r="F10" s="671">
        <f t="shared" si="1"/>
        <v>0</v>
      </c>
      <c r="H10" s="593"/>
      <c r="I10" s="589" t="s">
        <v>89</v>
      </c>
      <c r="J10" s="562" t="str">
        <f>'PP - Ukupna ocjena'!D8</f>
        <v>Izaberite</v>
      </c>
      <c r="K10" s="562" t="str">
        <f>'PP - Ukupna ocjena'!D9</f>
        <v>Izaberite</v>
      </c>
      <c r="L10" s="562" t="str">
        <f>'PP - Ukupna ocjena'!D10</f>
        <v>Izaberite</v>
      </c>
      <c r="M10" s="562" t="str">
        <f>'PP - Ukupna ocjena'!D11</f>
        <v>Izaberite</v>
      </c>
      <c r="N10" s="562" t="str">
        <f>'PP - Ukupna ocjena'!D12</f>
        <v>Izaberite</v>
      </c>
      <c r="O10" s="562" t="str">
        <f>'PP - Ukupna ocjena'!D13</f>
        <v>Izaberite</v>
      </c>
      <c r="P10" s="562" t="str">
        <f>'PP - Ukupna ocjena'!D14</f>
        <v>Izaberite</v>
      </c>
      <c r="Q10" s="562" t="str">
        <f>'PP - Ukupna ocjena'!D15</f>
        <v>Izaberite</v>
      </c>
      <c r="R10" s="562" t="str">
        <f>'PP - Ukupna ocjena'!D16</f>
        <v>Izaberite</v>
      </c>
      <c r="S10" s="594"/>
      <c r="V10" s="678">
        <f t="shared" si="0"/>
        <v>1</v>
      </c>
      <c r="W10" s="678">
        <f t="shared" si="0"/>
        <v>1</v>
      </c>
      <c r="X10" s="678">
        <f t="shared" si="0"/>
        <v>1</v>
      </c>
      <c r="Y10" s="678">
        <f t="shared" si="0"/>
        <v>1</v>
      </c>
      <c r="Z10" s="678">
        <f t="shared" si="2"/>
        <v>1</v>
      </c>
      <c r="AA10" s="678">
        <f t="shared" si="2"/>
        <v>1</v>
      </c>
      <c r="AB10" s="678">
        <f>IF(P10="",0,1)</f>
        <v>1</v>
      </c>
      <c r="AC10" s="678">
        <f>IF(Q10="",0,1)</f>
        <v>1</v>
      </c>
      <c r="AD10" s="678">
        <f>IF(R10="",0,1)</f>
        <v>1</v>
      </c>
    </row>
    <row r="11" spans="2:30" s="470" customFormat="1" ht="33.950000000000003" customHeight="1" thickBot="1" x14ac:dyDescent="0.3">
      <c r="B11" s="471"/>
      <c r="C11" s="473" t="s">
        <v>76</v>
      </c>
      <c r="D11" s="494" t="str">
        <f>'EV - Ukupna ocjena'!G16</f>
        <v/>
      </c>
      <c r="E11" s="553">
        <v>0.25</v>
      </c>
      <c r="F11" s="671">
        <f t="shared" si="1"/>
        <v>0</v>
      </c>
      <c r="H11" s="593"/>
      <c r="I11" s="599" t="s">
        <v>76</v>
      </c>
      <c r="J11" s="560">
        <f>IF('EV1 - Hidromorfologija'!H16+'EV1 - Hidromorfologija'!H32=2,1,0)</f>
        <v>0</v>
      </c>
      <c r="K11" s="560">
        <f>'EV2 - Ekološki status'!H16</f>
        <v>0</v>
      </c>
      <c r="L11" s="560">
        <f>'EV3 - Površina sliva'!H16</f>
        <v>0</v>
      </c>
      <c r="M11" s="560">
        <f>'EV4 - Posebni tipovi V.T.'!K17</f>
        <v>0</v>
      </c>
      <c r="N11" s="560">
        <f>'EV5 -Postojanje mrjestilišta'!H16</f>
        <v>0</v>
      </c>
      <c r="O11" s="560">
        <f>'EV6- Putevi slobodnog toka'!G36</f>
        <v>0</v>
      </c>
      <c r="P11" s="560">
        <f>'EV7 - Toplotno zagađenje'!H16</f>
        <v>0</v>
      </c>
      <c r="Q11" s="560">
        <f>'EV8 - Akumulacija'!I16</f>
        <v>0</v>
      </c>
      <c r="R11" s="582"/>
      <c r="S11" s="594"/>
      <c r="V11" s="678">
        <f t="shared" si="0"/>
        <v>1</v>
      </c>
      <c r="W11" s="678">
        <f t="shared" si="0"/>
        <v>1</v>
      </c>
      <c r="X11" s="678">
        <f t="shared" si="0"/>
        <v>1</v>
      </c>
      <c r="Y11" s="678">
        <f t="shared" si="0"/>
        <v>1</v>
      </c>
      <c r="Z11" s="678">
        <f t="shared" si="2"/>
        <v>1</v>
      </c>
      <c r="AA11" s="678">
        <f t="shared" si="2"/>
        <v>1</v>
      </c>
      <c r="AB11" s="678">
        <f>IF(P11="",0,1)</f>
        <v>1</v>
      </c>
      <c r="AC11" s="678">
        <f>IF(Q11="",0,1)</f>
        <v>1</v>
      </c>
      <c r="AD11" s="678">
        <v>1</v>
      </c>
    </row>
    <row r="12" spans="2:30" s="470" customFormat="1" ht="33.950000000000003" customHeight="1" thickBot="1" x14ac:dyDescent="0.3">
      <c r="B12" s="471"/>
      <c r="C12" s="493" t="s">
        <v>77</v>
      </c>
      <c r="D12" s="495" t="str">
        <f>'ZP - Ukupna ocjena'!G18</f>
        <v/>
      </c>
      <c r="E12" s="554">
        <v>0.2</v>
      </c>
      <c r="F12" s="671">
        <f t="shared" si="1"/>
        <v>0</v>
      </c>
      <c r="H12" s="593"/>
      <c r="I12" s="598" t="s">
        <v>77</v>
      </c>
      <c r="J12" s="558">
        <f>'ZP1 - Zaštita vrsta'!G32</f>
        <v>0</v>
      </c>
      <c r="K12" s="558">
        <f>'ZP2 - Zaštita priridnog staništ'!G32</f>
        <v>0</v>
      </c>
      <c r="L12" s="558">
        <f>'ZP3 - Ekosistem'!G32</f>
        <v>0</v>
      </c>
      <c r="M12" s="558">
        <f>'ZP4 - Pejzaž i rekreacijska vr.'!N38</f>
        <v>0</v>
      </c>
      <c r="N12" s="558">
        <f>'ZP5 - Prirodni značaj vodotoka'!H32</f>
        <v>0</v>
      </c>
      <c r="O12" s="558">
        <f>'ZP6 - Osjetljivi tipovi voda'!H16</f>
        <v>0</v>
      </c>
      <c r="P12" s="558">
        <f>'ZP7 - Osjetljiva i jed. V.T.'!H16</f>
        <v>0</v>
      </c>
      <c r="Q12" s="583"/>
      <c r="R12" s="583"/>
      <c r="S12" s="594"/>
      <c r="V12" s="678">
        <f t="shared" si="0"/>
        <v>1</v>
      </c>
      <c r="W12" s="678">
        <f t="shared" si="0"/>
        <v>1</v>
      </c>
      <c r="X12" s="678">
        <f t="shared" si="0"/>
        <v>1</v>
      </c>
      <c r="Y12" s="678">
        <f t="shared" si="0"/>
        <v>1</v>
      </c>
      <c r="Z12" s="678">
        <f t="shared" si="2"/>
        <v>1</v>
      </c>
      <c r="AA12" s="678">
        <f t="shared" si="2"/>
        <v>1</v>
      </c>
      <c r="AB12" s="678">
        <f>IF(P12="",0,1)</f>
        <v>1</v>
      </c>
      <c r="AC12" s="678">
        <v>1</v>
      </c>
      <c r="AD12" s="678">
        <v>1</v>
      </c>
    </row>
    <row r="13" spans="2:30" s="470" customFormat="1" ht="33.950000000000003" customHeight="1" thickBot="1" x14ac:dyDescent="0.3">
      <c r="B13" s="471"/>
      <c r="C13" s="549" t="s">
        <v>189</v>
      </c>
      <c r="D13" s="550" t="str">
        <f>IF(SUM(F8:F12)=5,SUMPRODUCT(D8:D12,E8:E12),"")</f>
        <v/>
      </c>
      <c r="E13" s="547"/>
      <c r="F13" s="552"/>
      <c r="H13" s="593"/>
      <c r="I13" s="551"/>
      <c r="J13" s="551"/>
      <c r="K13" s="551"/>
      <c r="L13" s="551"/>
      <c r="M13" s="551"/>
      <c r="N13" s="551"/>
      <c r="O13" s="551"/>
      <c r="P13" s="551"/>
      <c r="Q13" s="551"/>
      <c r="R13" s="551"/>
      <c r="S13" s="594"/>
    </row>
    <row r="14" spans="2:30" s="470" customFormat="1" ht="17.100000000000001" customHeight="1" thickBot="1" x14ac:dyDescent="0.3">
      <c r="B14" s="474"/>
      <c r="C14" s="475"/>
      <c r="D14" s="476"/>
      <c r="E14" s="477"/>
      <c r="F14" s="478"/>
      <c r="H14" s="595"/>
      <c r="I14" s="596"/>
      <c r="J14" s="596"/>
      <c r="K14" s="596"/>
      <c r="L14" s="596"/>
      <c r="M14" s="596"/>
      <c r="N14" s="596"/>
      <c r="O14" s="596"/>
      <c r="P14" s="596"/>
      <c r="Q14" s="596"/>
      <c r="R14" s="596"/>
      <c r="S14" s="597"/>
    </row>
    <row r="15" spans="2:30" s="470" customFormat="1" x14ac:dyDescent="0.25">
      <c r="D15" s="479"/>
    </row>
    <row r="16" spans="2:30" ht="18.75" thickBot="1" x14ac:dyDescent="0.3">
      <c r="I16" s="508" t="s">
        <v>121</v>
      </c>
      <c r="J16" s="466"/>
      <c r="K16" s="463"/>
      <c r="L16" s="463"/>
      <c r="M16" s="463"/>
      <c r="N16" s="463"/>
      <c r="O16" s="463"/>
      <c r="P16" s="463"/>
      <c r="Q16" s="463"/>
      <c r="R16" s="463"/>
      <c r="S16" s="463"/>
    </row>
    <row r="17" spans="9:22" ht="33.950000000000003" customHeight="1" thickBot="1" x14ac:dyDescent="0.25">
      <c r="I17" s="712"/>
      <c r="J17" s="698" t="s">
        <v>90</v>
      </c>
      <c r="K17" s="709" t="s">
        <v>57</v>
      </c>
      <c r="L17" s="710"/>
      <c r="M17" s="711"/>
      <c r="N17" s="709" t="s">
        <v>95</v>
      </c>
      <c r="O17" s="710"/>
      <c r="P17" s="710"/>
      <c r="Q17" s="710"/>
      <c r="R17" s="710"/>
      <c r="S17" s="711"/>
      <c r="T17" s="561"/>
      <c r="U17" s="561"/>
    </row>
    <row r="18" spans="9:22" ht="17.100000000000001" customHeight="1" thickBot="1" x14ac:dyDescent="0.25">
      <c r="I18" s="713"/>
      <c r="J18" s="646" t="s">
        <v>91</v>
      </c>
      <c r="K18" s="647" t="s">
        <v>92</v>
      </c>
      <c r="L18" s="648" t="s">
        <v>93</v>
      </c>
      <c r="M18" s="649" t="s">
        <v>94</v>
      </c>
      <c r="N18" s="650">
        <v>1</v>
      </c>
      <c r="O18" s="650">
        <v>2</v>
      </c>
      <c r="P18" s="650">
        <v>3</v>
      </c>
      <c r="Q18" s="650">
        <v>4</v>
      </c>
      <c r="R18" s="650">
        <v>5</v>
      </c>
      <c r="S18" s="651">
        <v>6</v>
      </c>
      <c r="T18" s="559"/>
      <c r="U18" s="559"/>
      <c r="V18" s="559"/>
    </row>
    <row r="19" spans="9:22" ht="15.95" customHeight="1" thickBot="1" x14ac:dyDescent="0.25">
      <c r="I19" s="652" t="s">
        <v>74</v>
      </c>
      <c r="J19" s="653" t="str">
        <f>IF(SUM($F$8:$F$12)=5,D8,"")</f>
        <v/>
      </c>
      <c r="K19" s="654">
        <v>5</v>
      </c>
      <c r="L19" s="655">
        <f>2*1.67</f>
        <v>3.34</v>
      </c>
      <c r="M19" s="656">
        <v>1.67</v>
      </c>
      <c r="N19" s="657">
        <v>1</v>
      </c>
      <c r="O19" s="657">
        <v>2</v>
      </c>
      <c r="P19" s="657">
        <v>3</v>
      </c>
      <c r="Q19" s="657">
        <v>4</v>
      </c>
      <c r="R19" s="657">
        <v>5</v>
      </c>
      <c r="S19" s="658">
        <v>6</v>
      </c>
      <c r="T19" s="642"/>
      <c r="U19" s="559"/>
      <c r="V19" s="559"/>
    </row>
    <row r="20" spans="9:22" ht="17.100000000000001" customHeight="1" thickBot="1" x14ac:dyDescent="0.25">
      <c r="I20" s="659" t="s">
        <v>75</v>
      </c>
      <c r="J20" s="507" t="str">
        <f>IF(SUM($F$8:$F$12)=5,D9,"")</f>
        <v/>
      </c>
      <c r="K20" s="503">
        <v>5</v>
      </c>
      <c r="L20" s="505">
        <f>2*1.67</f>
        <v>3.34</v>
      </c>
      <c r="M20" s="506">
        <v>1.67</v>
      </c>
      <c r="N20" s="601">
        <f t="shared" ref="N20:R23" si="3">N19</f>
        <v>1</v>
      </c>
      <c r="O20" s="601">
        <f t="shared" si="3"/>
        <v>2</v>
      </c>
      <c r="P20" s="601">
        <f t="shared" si="3"/>
        <v>3</v>
      </c>
      <c r="Q20" s="601">
        <f t="shared" si="3"/>
        <v>4</v>
      </c>
      <c r="R20" s="601">
        <f t="shared" si="3"/>
        <v>5</v>
      </c>
      <c r="S20" s="660">
        <v>6</v>
      </c>
      <c r="T20" s="643"/>
      <c r="U20" s="557"/>
      <c r="V20" s="557"/>
    </row>
    <row r="21" spans="9:22" ht="17.100000000000001" customHeight="1" thickBot="1" x14ac:dyDescent="0.25">
      <c r="I21" s="659" t="s">
        <v>89</v>
      </c>
      <c r="J21" s="507" t="str">
        <f>IF(SUM($F$8:$F$12)=5,D10,"")</f>
        <v/>
      </c>
      <c r="K21" s="503">
        <v>5</v>
      </c>
      <c r="L21" s="505">
        <f>2*1.67</f>
        <v>3.34</v>
      </c>
      <c r="M21" s="504">
        <v>1.67</v>
      </c>
      <c r="N21" s="601">
        <f t="shared" si="3"/>
        <v>1</v>
      </c>
      <c r="O21" s="601">
        <f t="shared" si="3"/>
        <v>2</v>
      </c>
      <c r="P21" s="601">
        <f t="shared" si="3"/>
        <v>3</v>
      </c>
      <c r="Q21" s="601">
        <f t="shared" si="3"/>
        <v>4</v>
      </c>
      <c r="R21" s="601">
        <f t="shared" si="3"/>
        <v>5</v>
      </c>
      <c r="S21" s="660">
        <v>6</v>
      </c>
      <c r="T21" s="644"/>
      <c r="U21" s="557"/>
      <c r="V21" s="557"/>
    </row>
    <row r="22" spans="9:22" ht="17.100000000000001" customHeight="1" thickBot="1" x14ac:dyDescent="0.25">
      <c r="I22" s="659" t="s">
        <v>76</v>
      </c>
      <c r="J22" s="507" t="str">
        <f>IF(SUM($F$8:$F$12)=5,D11,"")</f>
        <v/>
      </c>
      <c r="K22" s="503">
        <v>5</v>
      </c>
      <c r="L22" s="505">
        <f>2*1.67</f>
        <v>3.34</v>
      </c>
      <c r="M22" s="506">
        <v>1.67</v>
      </c>
      <c r="N22" s="601">
        <f t="shared" si="3"/>
        <v>1</v>
      </c>
      <c r="O22" s="601">
        <f t="shared" si="3"/>
        <v>2</v>
      </c>
      <c r="P22" s="601">
        <f t="shared" si="3"/>
        <v>3</v>
      </c>
      <c r="Q22" s="601">
        <f t="shared" si="3"/>
        <v>4</v>
      </c>
      <c r="R22" s="601">
        <f t="shared" si="3"/>
        <v>5</v>
      </c>
      <c r="S22" s="660">
        <v>6</v>
      </c>
      <c r="T22" s="645"/>
      <c r="U22" s="557"/>
      <c r="V22" s="557"/>
    </row>
    <row r="23" spans="9:22" ht="13.5" thickBot="1" x14ac:dyDescent="0.25">
      <c r="I23" s="661" t="s">
        <v>77</v>
      </c>
      <c r="J23" s="662" t="str">
        <f>IF(SUM($F$8:$F$12)=5,D12,"")</f>
        <v/>
      </c>
      <c r="K23" s="663">
        <v>5</v>
      </c>
      <c r="L23" s="664">
        <f>2*1.67</f>
        <v>3.34</v>
      </c>
      <c r="M23" s="665">
        <v>1.67</v>
      </c>
      <c r="N23" s="666">
        <f t="shared" si="3"/>
        <v>1</v>
      </c>
      <c r="O23" s="666">
        <f t="shared" si="3"/>
        <v>2</v>
      </c>
      <c r="P23" s="666">
        <f t="shared" si="3"/>
        <v>3</v>
      </c>
      <c r="Q23" s="666">
        <f t="shared" si="3"/>
        <v>4</v>
      </c>
      <c r="R23" s="666">
        <f t="shared" si="3"/>
        <v>5</v>
      </c>
      <c r="S23" s="667">
        <v>6</v>
      </c>
      <c r="T23" s="502"/>
    </row>
    <row r="24" spans="9:22" x14ac:dyDescent="0.2">
      <c r="I24" s="502"/>
      <c r="J24" s="555"/>
      <c r="K24" s="502"/>
      <c r="L24" s="502"/>
      <c r="M24" s="502"/>
      <c r="N24" s="502"/>
      <c r="O24" s="502"/>
      <c r="P24" s="502"/>
      <c r="Q24" s="502"/>
      <c r="R24" s="502"/>
      <c r="S24" s="502"/>
      <c r="T24" s="502"/>
    </row>
    <row r="25" spans="9:22" x14ac:dyDescent="0.2">
      <c r="I25" s="502"/>
      <c r="K25" s="502"/>
      <c r="L25" s="502"/>
      <c r="M25" s="502"/>
      <c r="N25" s="502"/>
      <c r="O25" s="502"/>
      <c r="P25" s="502"/>
      <c r="Q25" s="502"/>
      <c r="R25" s="502"/>
      <c r="S25" s="502"/>
      <c r="T25" s="502"/>
    </row>
    <row r="26" spans="9:22" x14ac:dyDescent="0.2">
      <c r="I26" s="502"/>
      <c r="K26" s="502"/>
      <c r="L26" s="502"/>
      <c r="M26" s="502"/>
      <c r="N26" s="502"/>
      <c r="O26" s="502"/>
      <c r="P26" s="502"/>
      <c r="Q26" s="502"/>
      <c r="R26" s="502"/>
      <c r="S26" s="502"/>
      <c r="T26" s="502"/>
    </row>
    <row r="27" spans="9:22" x14ac:dyDescent="0.2">
      <c r="I27" s="502"/>
      <c r="J27" s="480" t="str">
        <f>J8</f>
        <v/>
      </c>
      <c r="K27" s="502"/>
      <c r="L27" s="502"/>
      <c r="M27" s="502"/>
      <c r="N27" s="502"/>
      <c r="O27" s="502"/>
      <c r="P27" s="502"/>
      <c r="Q27" s="502"/>
      <c r="R27" s="502"/>
      <c r="S27" s="502"/>
      <c r="T27" s="502"/>
    </row>
    <row r="28" spans="9:22" x14ac:dyDescent="0.2">
      <c r="J28" s="480" t="str">
        <f t="shared" ref="J28:J35" si="4">J9</f>
        <v>Izaberite</v>
      </c>
      <c r="T28" s="502"/>
    </row>
    <row r="29" spans="9:22" x14ac:dyDescent="0.2">
      <c r="J29" s="480" t="str">
        <f t="shared" si="4"/>
        <v>Izaberite</v>
      </c>
      <c r="T29" s="502"/>
    </row>
    <row r="30" spans="9:22" x14ac:dyDescent="0.2">
      <c r="J30" s="480">
        <f>J11</f>
        <v>0</v>
      </c>
      <c r="T30" s="502"/>
    </row>
    <row r="31" spans="9:22" x14ac:dyDescent="0.2">
      <c r="J31" s="480">
        <f t="shared" si="4"/>
        <v>0</v>
      </c>
      <c r="T31" s="502"/>
    </row>
    <row r="32" spans="9:22" x14ac:dyDescent="0.2">
      <c r="J32" s="480">
        <f t="shared" si="4"/>
        <v>0</v>
      </c>
      <c r="T32" s="502"/>
    </row>
    <row r="33" spans="9:20" x14ac:dyDescent="0.2">
      <c r="J33" s="480">
        <f t="shared" si="4"/>
        <v>0</v>
      </c>
      <c r="T33" s="502"/>
    </row>
    <row r="34" spans="9:20" x14ac:dyDescent="0.2">
      <c r="J34" s="480">
        <f t="shared" si="4"/>
        <v>0</v>
      </c>
      <c r="T34" s="502"/>
    </row>
    <row r="35" spans="9:20" x14ac:dyDescent="0.2">
      <c r="J35" s="480">
        <f t="shared" si="4"/>
        <v>0</v>
      </c>
      <c r="T35" s="502"/>
    </row>
    <row r="36" spans="9:20" x14ac:dyDescent="0.2">
      <c r="I36" s="502"/>
      <c r="J36" s="502"/>
      <c r="K36" s="502"/>
      <c r="L36" s="502"/>
      <c r="M36" s="502"/>
      <c r="N36" s="502"/>
      <c r="O36" s="502"/>
      <c r="P36" s="502"/>
      <c r="Q36" s="502"/>
      <c r="R36" s="502"/>
      <c r="S36" s="502"/>
      <c r="T36" s="502"/>
    </row>
    <row r="37" spans="9:20" x14ac:dyDescent="0.2">
      <c r="I37" s="502"/>
      <c r="J37" s="502"/>
      <c r="K37" s="502"/>
      <c r="L37" s="502"/>
      <c r="M37" s="502"/>
      <c r="N37" s="502"/>
      <c r="O37" s="502"/>
      <c r="P37" s="502"/>
      <c r="Q37" s="502"/>
      <c r="R37" s="502"/>
      <c r="S37" s="502"/>
      <c r="T37" s="502"/>
    </row>
    <row r="38" spans="9:20" x14ac:dyDescent="0.2">
      <c r="I38" s="502"/>
      <c r="J38" s="502"/>
      <c r="K38" s="502"/>
      <c r="L38" s="502"/>
      <c r="M38" s="502"/>
      <c r="N38" s="502"/>
      <c r="O38" s="502"/>
      <c r="P38" s="502"/>
      <c r="Q38" s="502"/>
      <c r="R38" s="502"/>
      <c r="S38" s="502"/>
      <c r="T38" s="502"/>
    </row>
    <row r="39" spans="9:20" x14ac:dyDescent="0.2">
      <c r="I39" s="502"/>
      <c r="J39" s="502"/>
      <c r="K39" s="502"/>
      <c r="L39" s="502"/>
      <c r="M39" s="502"/>
      <c r="N39" s="502"/>
      <c r="O39" s="502"/>
      <c r="P39" s="502"/>
      <c r="Q39" s="502"/>
      <c r="R39" s="502"/>
      <c r="S39" s="502"/>
      <c r="T39" s="502"/>
    </row>
    <row r="40" spans="9:20" x14ac:dyDescent="0.2">
      <c r="I40" s="502"/>
      <c r="J40" s="502"/>
      <c r="K40" s="502"/>
      <c r="L40" s="502"/>
      <c r="M40" s="502"/>
      <c r="N40" s="502"/>
      <c r="O40" s="502"/>
      <c r="P40" s="502"/>
      <c r="Q40" s="502"/>
      <c r="R40" s="502"/>
      <c r="S40" s="502"/>
      <c r="T40" s="502"/>
    </row>
    <row r="41" spans="9:20" x14ac:dyDescent="0.2">
      <c r="I41" s="502"/>
      <c r="J41" s="502"/>
      <c r="K41" s="502"/>
      <c r="L41" s="502"/>
      <c r="M41" s="502"/>
      <c r="N41" s="502"/>
      <c r="O41" s="502"/>
      <c r="P41" s="502"/>
      <c r="Q41" s="502"/>
      <c r="R41" s="502"/>
      <c r="S41" s="502"/>
      <c r="T41" s="502"/>
    </row>
    <row r="42" spans="9:20" x14ac:dyDescent="0.2">
      <c r="I42" s="502"/>
      <c r="J42" s="502"/>
      <c r="K42" s="502"/>
      <c r="L42" s="502"/>
      <c r="M42" s="502"/>
      <c r="N42" s="502"/>
      <c r="O42" s="502"/>
      <c r="P42" s="502"/>
      <c r="Q42" s="502"/>
      <c r="R42" s="502"/>
      <c r="S42" s="502"/>
      <c r="T42" s="502"/>
    </row>
    <row r="43" spans="9:20" x14ac:dyDescent="0.2">
      <c r="I43" s="502"/>
      <c r="J43" s="502"/>
      <c r="K43" s="502"/>
      <c r="L43" s="502"/>
      <c r="M43" s="502"/>
      <c r="N43" s="502"/>
      <c r="O43" s="502"/>
      <c r="P43" s="502"/>
      <c r="Q43" s="502"/>
      <c r="R43" s="502"/>
      <c r="S43" s="502"/>
      <c r="T43" s="502"/>
    </row>
    <row r="44" spans="9:20" x14ac:dyDescent="0.2">
      <c r="I44" s="502"/>
      <c r="J44" s="502"/>
      <c r="K44" s="502"/>
      <c r="L44" s="502"/>
      <c r="M44" s="502"/>
      <c r="N44" s="502"/>
      <c r="O44" s="502"/>
      <c r="P44" s="502"/>
      <c r="Q44" s="502"/>
      <c r="R44" s="502"/>
      <c r="S44" s="502"/>
      <c r="T44" s="502"/>
    </row>
    <row r="45" spans="9:20" x14ac:dyDescent="0.2">
      <c r="I45" s="502"/>
      <c r="J45" s="502"/>
      <c r="K45" s="502"/>
      <c r="L45" s="502"/>
      <c r="M45" s="502"/>
      <c r="N45" s="502"/>
      <c r="O45" s="502"/>
      <c r="P45" s="502"/>
      <c r="Q45" s="502"/>
      <c r="R45" s="502"/>
      <c r="S45" s="502"/>
      <c r="T45" s="502"/>
    </row>
    <row r="46" spans="9:20" x14ac:dyDescent="0.2">
      <c r="I46" s="502"/>
      <c r="J46" s="502"/>
      <c r="K46" s="502"/>
      <c r="L46" s="502"/>
      <c r="M46" s="502"/>
      <c r="N46" s="502"/>
      <c r="O46" s="502"/>
      <c r="P46" s="502"/>
      <c r="Q46" s="502"/>
      <c r="R46" s="502"/>
      <c r="S46" s="502"/>
      <c r="T46" s="502"/>
    </row>
    <row r="47" spans="9:20" x14ac:dyDescent="0.2">
      <c r="I47" s="502"/>
      <c r="J47" s="502"/>
      <c r="K47" s="502"/>
      <c r="L47" s="502"/>
      <c r="M47" s="502"/>
      <c r="N47" s="502"/>
      <c r="O47" s="502"/>
      <c r="P47" s="502"/>
      <c r="Q47" s="502"/>
      <c r="R47" s="502"/>
      <c r="S47" s="502"/>
      <c r="T47" s="502"/>
    </row>
    <row r="48" spans="9:20" x14ac:dyDescent="0.2">
      <c r="I48" s="502"/>
      <c r="J48" s="502"/>
      <c r="K48" s="502"/>
      <c r="L48" s="502"/>
      <c r="M48" s="502"/>
      <c r="N48" s="502"/>
      <c r="O48" s="502"/>
      <c r="P48" s="502"/>
      <c r="Q48" s="502"/>
      <c r="R48" s="502"/>
      <c r="S48" s="502"/>
      <c r="T48" s="502"/>
    </row>
    <row r="49" spans="1:20" s="481" customFormat="1" x14ac:dyDescent="0.2">
      <c r="A49" s="480"/>
      <c r="B49" s="480"/>
      <c r="C49" s="480"/>
      <c r="D49" s="480"/>
      <c r="E49" s="480"/>
      <c r="F49" s="480"/>
      <c r="G49" s="480"/>
      <c r="H49" s="480"/>
      <c r="I49" s="502"/>
      <c r="J49" s="502"/>
      <c r="K49" s="502"/>
      <c r="L49" s="502"/>
      <c r="M49" s="502"/>
      <c r="N49" s="502"/>
      <c r="O49" s="502"/>
      <c r="P49" s="502"/>
      <c r="Q49" s="502"/>
      <c r="R49" s="502"/>
      <c r="S49" s="502"/>
      <c r="T49" s="502"/>
    </row>
    <row r="50" spans="1:20" s="481" customFormat="1" x14ac:dyDescent="0.2">
      <c r="A50" s="480"/>
      <c r="B50" s="555" t="s">
        <v>58</v>
      </c>
      <c r="C50" s="480"/>
      <c r="D50" s="480"/>
      <c r="E50" s="480"/>
      <c r="F50" s="480"/>
      <c r="G50" s="480"/>
      <c r="H50" s="480"/>
      <c r="I50" s="502"/>
      <c r="J50" s="502"/>
      <c r="K50" s="502"/>
      <c r="L50" s="502"/>
      <c r="M50" s="502"/>
      <c r="N50" s="502"/>
      <c r="O50" s="502"/>
      <c r="P50" s="502"/>
      <c r="Q50" s="502"/>
      <c r="R50" s="502"/>
      <c r="S50" s="502"/>
      <c r="T50" s="502"/>
    </row>
    <row r="51" spans="1:20" s="481" customFormat="1" x14ac:dyDescent="0.2">
      <c r="A51" s="480"/>
      <c r="B51" s="480"/>
      <c r="C51" s="480"/>
      <c r="D51" s="480"/>
      <c r="E51" s="480"/>
      <c r="F51" s="480"/>
      <c r="G51" s="480"/>
      <c r="H51" s="480"/>
      <c r="I51" s="502"/>
      <c r="J51" s="502"/>
      <c r="K51" s="502"/>
      <c r="L51" s="502"/>
      <c r="M51" s="502"/>
      <c r="N51" s="502"/>
      <c r="O51" s="502"/>
      <c r="P51" s="502"/>
      <c r="Q51" s="502"/>
      <c r="R51" s="502"/>
      <c r="S51" s="502"/>
      <c r="T51" s="502"/>
    </row>
    <row r="52" spans="1:20" s="481" customFormat="1" x14ac:dyDescent="0.2">
      <c r="A52" s="480"/>
      <c r="B52" s="480"/>
      <c r="C52" s="480"/>
      <c r="D52" s="480"/>
      <c r="E52" s="480"/>
      <c r="F52" s="480"/>
      <c r="G52" s="480"/>
      <c r="H52" s="480"/>
      <c r="I52" s="502"/>
      <c r="J52" s="502"/>
      <c r="K52" s="502"/>
      <c r="L52" s="502"/>
      <c r="M52" s="502"/>
      <c r="N52" s="502"/>
      <c r="O52" s="502"/>
      <c r="P52" s="502"/>
      <c r="Q52" s="502"/>
      <c r="R52" s="502"/>
      <c r="S52" s="502"/>
      <c r="T52" s="502"/>
    </row>
    <row r="53" spans="1:20" s="481" customFormat="1" x14ac:dyDescent="0.2">
      <c r="A53" s="480"/>
      <c r="B53" s="480"/>
      <c r="C53" s="480"/>
      <c r="D53" s="480"/>
      <c r="E53" s="480"/>
      <c r="F53" s="480"/>
      <c r="G53" s="480"/>
      <c r="H53" s="480"/>
      <c r="I53" s="502"/>
      <c r="J53" s="502"/>
      <c r="K53" s="502"/>
      <c r="L53" s="502"/>
      <c r="M53" s="502"/>
      <c r="N53" s="502"/>
      <c r="O53" s="502"/>
      <c r="P53" s="502"/>
      <c r="Q53" s="502"/>
      <c r="R53" s="502"/>
      <c r="S53" s="502"/>
      <c r="T53" s="502"/>
    </row>
    <row r="54" spans="1:20" s="481" customFormat="1" x14ac:dyDescent="0.2">
      <c r="A54" s="480"/>
      <c r="B54" s="480"/>
      <c r="C54" s="480"/>
      <c r="D54" s="480"/>
      <c r="E54" s="480"/>
      <c r="F54" s="480"/>
      <c r="G54" s="480"/>
      <c r="H54" s="480"/>
      <c r="I54" s="502"/>
      <c r="J54" s="502"/>
      <c r="K54" s="502"/>
      <c r="L54" s="502"/>
      <c r="M54" s="502"/>
      <c r="N54" s="502"/>
      <c r="O54" s="502"/>
      <c r="P54" s="502"/>
      <c r="Q54" s="502"/>
      <c r="R54" s="502"/>
      <c r="S54" s="502"/>
      <c r="T54" s="502"/>
    </row>
    <row r="55" spans="1:20" s="481" customFormat="1" x14ac:dyDescent="0.2">
      <c r="A55" s="480"/>
      <c r="C55" s="480"/>
      <c r="D55" s="480"/>
      <c r="E55" s="480"/>
      <c r="F55" s="480"/>
      <c r="G55" s="480"/>
      <c r="H55" s="480"/>
      <c r="I55" s="502"/>
      <c r="J55" s="502"/>
      <c r="K55" s="502"/>
      <c r="L55" s="502"/>
      <c r="M55" s="502"/>
      <c r="N55" s="502"/>
      <c r="O55" s="502"/>
      <c r="P55" s="502"/>
      <c r="Q55" s="502"/>
      <c r="R55" s="502"/>
      <c r="S55" s="502"/>
      <c r="T55" s="502"/>
    </row>
  </sheetData>
  <mergeCells count="6">
    <mergeCell ref="C3:D3"/>
    <mergeCell ref="I2:R2"/>
    <mergeCell ref="I4:R4"/>
    <mergeCell ref="N17:S17"/>
    <mergeCell ref="K17:M17"/>
    <mergeCell ref="I17:I18"/>
  </mergeCells>
  <phoneticPr fontId="57" type="noConversion"/>
  <conditionalFormatting sqref="J8:M8">
    <cfRule type="expression" dxfId="261" priority="14">
      <formula>ISNUMBER(J8)</formula>
    </cfRule>
  </conditionalFormatting>
  <conditionalFormatting sqref="J9:O9">
    <cfRule type="expression" dxfId="260" priority="12">
      <formula>ISNUMBER(J9)</formula>
    </cfRule>
  </conditionalFormatting>
  <conditionalFormatting sqref="J11:Q11">
    <cfRule type="cellIs" dxfId="259" priority="10" operator="equal">
      <formula>1</formula>
    </cfRule>
  </conditionalFormatting>
  <conditionalFormatting sqref="J12">
    <cfRule type="cellIs" dxfId="258" priority="9" operator="equal">
      <formula>1</formula>
    </cfRule>
  </conditionalFormatting>
  <conditionalFormatting sqref="K12">
    <cfRule type="cellIs" dxfId="257" priority="8" operator="equal">
      <formula>1</formula>
    </cfRule>
  </conditionalFormatting>
  <conditionalFormatting sqref="M12">
    <cfRule type="cellIs" dxfId="256" priority="6" operator="equal">
      <formula>1</formula>
    </cfRule>
  </conditionalFormatting>
  <conditionalFormatting sqref="L12">
    <cfRule type="cellIs" dxfId="255" priority="7" operator="equal">
      <formula>1</formula>
    </cfRule>
  </conditionalFormatting>
  <conditionalFormatting sqref="N12">
    <cfRule type="cellIs" dxfId="254" priority="5" operator="equal">
      <formula>1</formula>
    </cfRule>
  </conditionalFormatting>
  <conditionalFormatting sqref="O12">
    <cfRule type="cellIs" dxfId="253" priority="4" operator="equal">
      <formula>1</formula>
    </cfRule>
  </conditionalFormatting>
  <conditionalFormatting sqref="P12">
    <cfRule type="cellIs" dxfId="252" priority="3" operator="equal">
      <formula>1</formula>
    </cfRule>
  </conditionalFormatting>
  <conditionalFormatting sqref="I2:R2">
    <cfRule type="expression" dxfId="251" priority="85">
      <formula>SUM($V$8:$AD$12)=45</formula>
    </cfRule>
  </conditionalFormatting>
  <conditionalFormatting sqref="J10:R10">
    <cfRule type="expression" dxfId="250" priority="86">
      <formula>J10=$V$3</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7" id="{00000000-000E-0000-0100-00000F000000}">
            <xm:f>MAX('Eliminatorni kriteriji'!$H$9:$H$15)=1</xm:f>
            <x14:dxf>
              <font>
                <color theme="9"/>
              </font>
            </x14:dxf>
          </x14:cfRule>
          <xm:sqref>I4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265</v>
      </c>
      <c r="D3" s="731"/>
      <c r="E3" s="30"/>
      <c r="H3" s="80">
        <v>1</v>
      </c>
    </row>
    <row r="4" spans="1:8" ht="17.100000000000001" customHeight="1" thickBot="1" x14ac:dyDescent="0.3">
      <c r="A4" s="1"/>
      <c r="B4" s="31"/>
      <c r="C4" s="32"/>
      <c r="D4" s="32"/>
      <c r="E4" s="23"/>
      <c r="H4" s="80">
        <v>2</v>
      </c>
    </row>
    <row r="5" spans="1:8" ht="17.100000000000001" customHeight="1" thickBot="1" x14ac:dyDescent="0.3">
      <c r="A5" s="1"/>
      <c r="B5" s="1"/>
      <c r="C5" s="26"/>
      <c r="D5" s="26"/>
      <c r="E5" s="1"/>
      <c r="H5" s="80">
        <v>3</v>
      </c>
    </row>
    <row r="6" spans="1:8" ht="17.100000000000001" customHeight="1" thickBot="1" x14ac:dyDescent="0.3">
      <c r="A6" s="1"/>
      <c r="B6" s="6"/>
      <c r="C6" s="10"/>
      <c r="D6" s="11"/>
      <c r="E6" s="20"/>
      <c r="H6" s="80">
        <v>4</v>
      </c>
    </row>
    <row r="7" spans="1:8" ht="17.100000000000001" customHeight="1" thickBot="1" x14ac:dyDescent="0.3">
      <c r="A7" s="2"/>
      <c r="B7" s="8"/>
      <c r="C7" s="111" t="s">
        <v>116</v>
      </c>
      <c r="D7" s="113" t="s">
        <v>188</v>
      </c>
      <c r="E7" s="22"/>
      <c r="H7" s="80">
        <v>5</v>
      </c>
    </row>
    <row r="8" spans="1:8" ht="33.950000000000003" customHeight="1" thickBot="1" x14ac:dyDescent="0.3">
      <c r="A8" s="1"/>
      <c r="B8" s="7"/>
      <c r="C8" s="115">
        <v>0</v>
      </c>
      <c r="D8" s="116" t="s">
        <v>259</v>
      </c>
      <c r="E8" s="21"/>
      <c r="H8" s="80" t="s">
        <v>118</v>
      </c>
    </row>
    <row r="9" spans="1:8" ht="33.950000000000003" customHeight="1" thickBot="1" x14ac:dyDescent="0.3">
      <c r="A9" s="1"/>
      <c r="B9" s="7"/>
      <c r="C9" s="115">
        <v>1</v>
      </c>
      <c r="D9" s="116" t="s">
        <v>266</v>
      </c>
      <c r="E9" s="21"/>
    </row>
    <row r="10" spans="1:8" ht="33.950000000000003" customHeight="1" thickBot="1" x14ac:dyDescent="0.3">
      <c r="A10" s="1"/>
      <c r="B10" s="7"/>
      <c r="C10" s="115">
        <v>2</v>
      </c>
      <c r="D10" s="116" t="s">
        <v>267</v>
      </c>
      <c r="E10" s="21"/>
    </row>
    <row r="11" spans="1:8" ht="33.950000000000003" customHeight="1" thickBot="1" x14ac:dyDescent="0.3">
      <c r="A11" s="1"/>
      <c r="B11" s="7"/>
      <c r="C11" s="115">
        <v>3</v>
      </c>
      <c r="D11" s="116" t="s">
        <v>268</v>
      </c>
      <c r="E11" s="21"/>
    </row>
    <row r="12" spans="1:8" ht="33.950000000000003" customHeight="1" thickBot="1" x14ac:dyDescent="0.3">
      <c r="A12" s="1"/>
      <c r="B12" s="7"/>
      <c r="C12" s="115">
        <v>4</v>
      </c>
      <c r="D12" s="116" t="s">
        <v>269</v>
      </c>
      <c r="E12" s="21"/>
    </row>
    <row r="13" spans="1:8" ht="33.950000000000003" customHeight="1" thickBot="1" x14ac:dyDescent="0.3">
      <c r="A13" s="1"/>
      <c r="B13" s="7"/>
      <c r="C13" s="114">
        <v>5</v>
      </c>
      <c r="D13" s="112" t="s">
        <v>270</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9" spans="1:5" ht="23.25" x14ac:dyDescent="0.35">
      <c r="B19" s="86"/>
    </row>
  </sheetData>
  <mergeCells count="1">
    <mergeCell ref="C3:D3"/>
  </mergeCells>
  <conditionalFormatting sqref="C15">
    <cfRule type="expression" dxfId="213"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ht="16.5" thickBot="1" x14ac:dyDescent="0.3">
      <c r="A1" s="1"/>
      <c r="B1" s="1"/>
      <c r="C1" s="24"/>
      <c r="D1" s="1"/>
      <c r="E1" s="1"/>
    </row>
    <row r="2" spans="1:8" ht="17.100000000000001" customHeight="1" x14ac:dyDescent="0.25">
      <c r="A2" s="1"/>
      <c r="B2" s="6"/>
      <c r="C2" s="10"/>
      <c r="D2" s="11"/>
      <c r="E2" s="20"/>
      <c r="H2" s="80" t="s">
        <v>15</v>
      </c>
    </row>
    <row r="3" spans="1:8" ht="17.100000000000001" customHeight="1" x14ac:dyDescent="0.25">
      <c r="A3" s="1"/>
      <c r="B3" s="7"/>
      <c r="C3" s="731" t="s">
        <v>271</v>
      </c>
      <c r="D3" s="731"/>
      <c r="E3" s="30"/>
      <c r="H3" s="80">
        <v>1</v>
      </c>
    </row>
    <row r="4" spans="1:8" ht="17.100000000000001" customHeight="1" thickBot="1" x14ac:dyDescent="0.3">
      <c r="A4" s="1"/>
      <c r="B4" s="31"/>
      <c r="C4" s="32"/>
      <c r="D4" s="32"/>
      <c r="E4" s="23"/>
      <c r="H4" s="80">
        <v>2</v>
      </c>
    </row>
    <row r="5" spans="1:8" ht="17.100000000000001" customHeight="1" thickBot="1" x14ac:dyDescent="0.3">
      <c r="A5" s="1"/>
      <c r="B5" s="1"/>
      <c r="C5" s="26"/>
      <c r="D5" s="26"/>
      <c r="E5" s="1"/>
      <c r="H5" s="80">
        <v>3</v>
      </c>
    </row>
    <row r="6" spans="1:8" ht="17.100000000000001" customHeight="1" thickBot="1" x14ac:dyDescent="0.3">
      <c r="A6" s="1"/>
      <c r="B6" s="6"/>
      <c r="C6" s="10"/>
      <c r="D6" s="11"/>
      <c r="E6" s="20"/>
      <c r="H6" s="80">
        <v>4</v>
      </c>
    </row>
    <row r="7" spans="1:8" ht="17.100000000000001" customHeight="1" thickBot="1" x14ac:dyDescent="0.3">
      <c r="A7" s="2"/>
      <c r="B7" s="8"/>
      <c r="C7" s="111" t="s">
        <v>116</v>
      </c>
      <c r="D7" s="113" t="s">
        <v>188</v>
      </c>
      <c r="E7" s="22"/>
      <c r="H7" s="80">
        <v>5</v>
      </c>
    </row>
    <row r="8" spans="1:8" ht="33.950000000000003" customHeight="1" thickBot="1" x14ac:dyDescent="0.3">
      <c r="A8" s="1"/>
      <c r="B8" s="7"/>
      <c r="C8" s="115">
        <v>0</v>
      </c>
      <c r="D8" s="116" t="s">
        <v>259</v>
      </c>
      <c r="E8" s="21"/>
      <c r="H8" s="80" t="s">
        <v>118</v>
      </c>
    </row>
    <row r="9" spans="1:8" ht="33.950000000000003" customHeight="1" thickBot="1" x14ac:dyDescent="0.3">
      <c r="A9" s="1"/>
      <c r="B9" s="7"/>
      <c r="C9" s="115">
        <v>1</v>
      </c>
      <c r="D9" s="116" t="s">
        <v>272</v>
      </c>
      <c r="E9" s="21"/>
    </row>
    <row r="10" spans="1:8" ht="33.950000000000003" customHeight="1" thickBot="1" x14ac:dyDescent="0.3">
      <c r="A10" s="1"/>
      <c r="B10" s="7"/>
      <c r="C10" s="115">
        <v>2</v>
      </c>
      <c r="D10" s="116" t="s">
        <v>273</v>
      </c>
      <c r="E10" s="21"/>
    </row>
    <row r="11" spans="1:8" ht="33.950000000000003" customHeight="1" thickBot="1" x14ac:dyDescent="0.3">
      <c r="A11" s="1"/>
      <c r="B11" s="7"/>
      <c r="C11" s="115">
        <v>3</v>
      </c>
      <c r="D11" s="116" t="s">
        <v>274</v>
      </c>
      <c r="E11" s="21"/>
    </row>
    <row r="12" spans="1:8" ht="33.950000000000003" customHeight="1" thickBot="1" x14ac:dyDescent="0.3">
      <c r="A12" s="1"/>
      <c r="B12" s="7"/>
      <c r="C12" s="115">
        <v>4</v>
      </c>
      <c r="D12" s="116" t="s">
        <v>275</v>
      </c>
      <c r="E12" s="21"/>
    </row>
    <row r="13" spans="1:8" ht="33.950000000000003" customHeight="1" thickBot="1" x14ac:dyDescent="0.3">
      <c r="A13" s="1"/>
      <c r="B13" s="7"/>
      <c r="C13" s="114">
        <v>5</v>
      </c>
      <c r="D13" s="112" t="s">
        <v>276</v>
      </c>
      <c r="E13" s="21"/>
    </row>
    <row r="14" spans="1:8" ht="17.100000000000001" customHeight="1" thickBot="1" x14ac:dyDescent="0.3">
      <c r="A14" s="1"/>
      <c r="B14" s="7"/>
      <c r="C14" s="37"/>
      <c r="D14" s="37"/>
      <c r="E14" s="21"/>
    </row>
    <row r="15" spans="1:8" ht="33.950000000000003" customHeight="1" thickBot="1" x14ac:dyDescent="0.3">
      <c r="A15" s="1"/>
      <c r="B15" s="7"/>
      <c r="C15" s="627" t="s">
        <v>118</v>
      </c>
      <c r="D15" s="117" t="s">
        <v>183</v>
      </c>
      <c r="E15" s="21"/>
    </row>
    <row r="16" spans="1:8" ht="16.5" thickBot="1" x14ac:dyDescent="0.3">
      <c r="A16" s="1"/>
      <c r="B16" s="31"/>
      <c r="C16" s="41"/>
      <c r="D16" s="19"/>
      <c r="E16" s="23"/>
    </row>
    <row r="17" spans="1:5" ht="18" x14ac:dyDescent="0.25">
      <c r="A17" s="1"/>
      <c r="B17" s="1"/>
      <c r="C17" s="26"/>
      <c r="D17" s="26"/>
      <c r="E17" s="1"/>
    </row>
    <row r="18" spans="1:5" x14ac:dyDescent="0.25">
      <c r="C18" s="80" t="s">
        <v>277</v>
      </c>
    </row>
    <row r="19" spans="1:5" ht="23.25" x14ac:dyDescent="0.35">
      <c r="B19" s="86"/>
    </row>
  </sheetData>
  <mergeCells count="1">
    <mergeCell ref="C3:D3"/>
  </mergeCells>
  <conditionalFormatting sqref="C15">
    <cfRule type="expression" dxfId="212"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C9" sqref="C9"/>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9" ht="16.5" thickBot="1" x14ac:dyDescent="0.3">
      <c r="A1" s="1"/>
      <c r="B1" s="1"/>
      <c r="C1" s="24"/>
      <c r="D1" s="1"/>
      <c r="E1" s="1"/>
    </row>
    <row r="2" spans="1:9" ht="17.100000000000001" customHeight="1" x14ac:dyDescent="0.25">
      <c r="A2" s="1"/>
      <c r="B2" s="6"/>
      <c r="C2" s="10"/>
      <c r="D2" s="11"/>
      <c r="E2" s="20"/>
      <c r="H2" s="80" t="s">
        <v>15</v>
      </c>
    </row>
    <row r="3" spans="1:9" ht="17.100000000000001" customHeight="1" x14ac:dyDescent="0.25">
      <c r="A3" s="1"/>
      <c r="B3" s="7"/>
      <c r="C3" s="731" t="s">
        <v>286</v>
      </c>
      <c r="D3" s="731"/>
      <c r="E3" s="30"/>
      <c r="H3" s="80">
        <v>0</v>
      </c>
      <c r="I3" s="80" t="s">
        <v>119</v>
      </c>
    </row>
    <row r="4" spans="1:9" ht="17.100000000000001" customHeight="1" thickBot="1" x14ac:dyDescent="0.3">
      <c r="A4" s="1"/>
      <c r="B4" s="31"/>
      <c r="C4" s="32"/>
      <c r="D4" s="32"/>
      <c r="E4" s="23"/>
      <c r="H4" s="80">
        <v>1</v>
      </c>
      <c r="I4" s="80" t="s">
        <v>120</v>
      </c>
    </row>
    <row r="5" spans="1:9" ht="17.100000000000001" customHeight="1" thickBot="1" x14ac:dyDescent="0.3">
      <c r="A5" s="1"/>
      <c r="B5" s="341"/>
      <c r="C5" s="531"/>
      <c r="D5" s="531"/>
      <c r="E5" s="341"/>
      <c r="H5" s="80">
        <v>2</v>
      </c>
      <c r="I5" s="80" t="s">
        <v>118</v>
      </c>
    </row>
    <row r="6" spans="1:9" ht="17.100000000000001" customHeight="1" x14ac:dyDescent="0.25">
      <c r="A6" s="1"/>
      <c r="B6" s="532"/>
      <c r="C6" s="533"/>
      <c r="D6" s="533"/>
      <c r="E6" s="534"/>
      <c r="H6" s="80">
        <v>3</v>
      </c>
    </row>
    <row r="7" spans="1:9" ht="17.100000000000001" customHeight="1" x14ac:dyDescent="0.25">
      <c r="A7" s="1"/>
      <c r="B7" s="346"/>
      <c r="C7" s="531" t="s">
        <v>279</v>
      </c>
      <c r="D7" s="531"/>
      <c r="E7" s="535"/>
      <c r="H7" s="80">
        <v>4</v>
      </c>
    </row>
    <row r="8" spans="1:9" ht="9.9499999999999993" customHeight="1" thickBot="1" x14ac:dyDescent="0.3">
      <c r="A8" s="1"/>
      <c r="B8" s="346"/>
      <c r="C8" s="531"/>
      <c r="D8" s="531"/>
      <c r="E8" s="535"/>
      <c r="H8" s="80">
        <v>5</v>
      </c>
    </row>
    <row r="9" spans="1:9" ht="33.950000000000003" customHeight="1" thickBot="1" x14ac:dyDescent="0.3">
      <c r="A9" s="1"/>
      <c r="B9" s="346"/>
      <c r="C9" s="628" t="s">
        <v>118</v>
      </c>
      <c r="D9" s="70" t="s">
        <v>280</v>
      </c>
      <c r="E9" s="535"/>
      <c r="H9" s="80" t="s">
        <v>118</v>
      </c>
    </row>
    <row r="10" spans="1:9" ht="17.100000000000001" customHeight="1" thickBot="1" x14ac:dyDescent="0.3">
      <c r="A10" s="1"/>
      <c r="B10" s="348"/>
      <c r="C10" s="536"/>
      <c r="D10" s="536"/>
      <c r="E10" s="537"/>
    </row>
    <row r="11" spans="1:9" ht="17.100000000000001" customHeight="1" thickBot="1" x14ac:dyDescent="0.3">
      <c r="A11" s="1"/>
      <c r="B11" s="341"/>
      <c r="C11" s="531"/>
      <c r="D11" s="531"/>
      <c r="E11" s="341"/>
    </row>
    <row r="12" spans="1:9" ht="17.100000000000001" customHeight="1" thickBot="1" x14ac:dyDescent="0.3">
      <c r="A12" s="1"/>
      <c r="B12" s="6"/>
      <c r="C12" s="10"/>
      <c r="D12" s="11"/>
      <c r="E12" s="20"/>
    </row>
    <row r="13" spans="1:9" ht="17.100000000000001" customHeight="1" thickBot="1" x14ac:dyDescent="0.3">
      <c r="A13" s="2"/>
      <c r="B13" s="8"/>
      <c r="C13" s="111" t="s">
        <v>116</v>
      </c>
      <c r="D13" s="113" t="s">
        <v>188</v>
      </c>
      <c r="E13" s="22"/>
      <c r="F13" s="140"/>
    </row>
    <row r="14" spans="1:9" ht="33.950000000000003" customHeight="1" thickBot="1" x14ac:dyDescent="0.3">
      <c r="A14" s="1"/>
      <c r="B14" s="7"/>
      <c r="C14" s="115">
        <v>0</v>
      </c>
      <c r="D14" s="116" t="s">
        <v>278</v>
      </c>
      <c r="E14" s="21"/>
    </row>
    <row r="15" spans="1:9" ht="33.950000000000003" customHeight="1" thickBot="1" x14ac:dyDescent="0.3">
      <c r="A15" s="1"/>
      <c r="B15" s="7"/>
      <c r="C15" s="115">
        <v>1</v>
      </c>
      <c r="D15" s="116" t="s">
        <v>281</v>
      </c>
      <c r="E15" s="21"/>
    </row>
    <row r="16" spans="1:9" ht="33.950000000000003" customHeight="1" thickBot="1" x14ac:dyDescent="0.3">
      <c r="A16" s="1"/>
      <c r="B16" s="7"/>
      <c r="C16" s="115">
        <v>2</v>
      </c>
      <c r="D16" s="116" t="s">
        <v>282</v>
      </c>
      <c r="E16" s="21"/>
    </row>
    <row r="17" spans="1:5" ht="33.950000000000003" customHeight="1" thickBot="1" x14ac:dyDescent="0.3">
      <c r="A17" s="1"/>
      <c r="B17" s="7"/>
      <c r="C17" s="115">
        <v>3</v>
      </c>
      <c r="D17" s="116" t="s">
        <v>283</v>
      </c>
      <c r="E17" s="21"/>
    </row>
    <row r="18" spans="1:5" ht="33.950000000000003" customHeight="1" thickBot="1" x14ac:dyDescent="0.3">
      <c r="A18" s="1"/>
      <c r="B18" s="7"/>
      <c r="C18" s="115">
        <v>4</v>
      </c>
      <c r="D18" s="116" t="s">
        <v>284</v>
      </c>
      <c r="E18" s="21"/>
    </row>
    <row r="19" spans="1:5" ht="33.950000000000003" customHeight="1" thickBot="1" x14ac:dyDescent="0.3">
      <c r="A19" s="1"/>
      <c r="B19" s="7"/>
      <c r="C19" s="114">
        <v>5</v>
      </c>
      <c r="D19" s="112" t="s">
        <v>285</v>
      </c>
      <c r="E19" s="21"/>
    </row>
    <row r="20" spans="1:5" ht="17.100000000000001" customHeight="1" thickBot="1" x14ac:dyDescent="0.3">
      <c r="A20" s="1"/>
      <c r="B20" s="7"/>
      <c r="C20" s="37"/>
      <c r="D20" s="37"/>
      <c r="E20" s="21"/>
    </row>
    <row r="21" spans="1:5" ht="33.950000000000003" customHeight="1" thickBot="1" x14ac:dyDescent="0.3">
      <c r="A21" s="1"/>
      <c r="B21" s="7"/>
      <c r="C21" s="627" t="s">
        <v>118</v>
      </c>
      <c r="D21" s="117" t="s">
        <v>183</v>
      </c>
      <c r="E21" s="21"/>
    </row>
    <row r="22" spans="1:5" ht="16.5" thickBot="1" x14ac:dyDescent="0.3">
      <c r="A22" s="1"/>
      <c r="B22" s="31"/>
      <c r="C22" s="41"/>
      <c r="D22" s="19"/>
      <c r="E22" s="23"/>
    </row>
    <row r="23" spans="1:5" ht="18" x14ac:dyDescent="0.25">
      <c r="A23" s="1"/>
      <c r="B23" s="1"/>
      <c r="C23" s="26"/>
      <c r="D23" s="26"/>
      <c r="E23" s="1"/>
    </row>
    <row r="24" spans="1:5" ht="32.1" customHeight="1" x14ac:dyDescent="0.25">
      <c r="C24" s="139" t="str">
        <f>IF(C9=I4,"Criterion not applicable - no scoring will be considered for project assessment!", IF(OR(C21&gt;0,C21=""),"","Exclusion for further assessment!"))</f>
        <v/>
      </c>
    </row>
    <row r="25" spans="1:5" ht="23.25" x14ac:dyDescent="0.35">
      <c r="B25" s="86"/>
    </row>
    <row r="26" spans="1:5" ht="15.95" customHeight="1" x14ac:dyDescent="0.25"/>
  </sheetData>
  <mergeCells count="1">
    <mergeCell ref="C3:D3"/>
  </mergeCells>
  <conditionalFormatting sqref="C21">
    <cfRule type="expression" dxfId="211" priority="1">
      <formula>$C21&lt;&gt;$H$9</formula>
    </cfRule>
  </conditionalFormatting>
  <dataValidations count="2">
    <dataValidation type="list" allowBlank="1" showInputMessage="1" showErrorMessage="1" errorTitle="Wrong value!" error="Only integer values between 0 and 5 allowed." prompt="Izaberite ocjenu" sqref="C21">
      <formula1>$H$3:$H$9</formula1>
    </dataValidation>
    <dataValidation type="list" allowBlank="1" showInputMessage="1" showErrorMessage="1" error="Wrong input!" prompt="Provjerite da li je kriterij primjenjljiv" sqref="C9">
      <formula1>$I$3:$I$5</formula1>
    </dataValidation>
  </dataValidation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C21" sqref="C21"/>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9" ht="16.5" thickBot="1" x14ac:dyDescent="0.3">
      <c r="A1" s="1"/>
      <c r="B1" s="1"/>
      <c r="C1" s="24"/>
      <c r="D1" s="1"/>
      <c r="E1" s="1"/>
    </row>
    <row r="2" spans="1:9" ht="17.100000000000001" customHeight="1" x14ac:dyDescent="0.25">
      <c r="A2" s="1"/>
      <c r="B2" s="6"/>
      <c r="C2" s="10"/>
      <c r="D2" s="11"/>
      <c r="E2" s="20"/>
      <c r="H2" s="80" t="s">
        <v>15</v>
      </c>
    </row>
    <row r="3" spans="1:9" ht="17.100000000000001" customHeight="1" x14ac:dyDescent="0.25">
      <c r="A3" s="1"/>
      <c r="B3" s="7"/>
      <c r="C3" s="731" t="s">
        <v>287</v>
      </c>
      <c r="D3" s="731"/>
      <c r="E3" s="30"/>
      <c r="H3" s="80">
        <v>1</v>
      </c>
      <c r="I3" s="80" t="s">
        <v>119</v>
      </c>
    </row>
    <row r="4" spans="1:9" ht="17.100000000000001" customHeight="1" thickBot="1" x14ac:dyDescent="0.3">
      <c r="A4" s="1"/>
      <c r="B4" s="31"/>
      <c r="C4" s="32"/>
      <c r="D4" s="32"/>
      <c r="E4" s="23"/>
      <c r="H4" s="80">
        <v>2</v>
      </c>
      <c r="I4" s="80" t="s">
        <v>120</v>
      </c>
    </row>
    <row r="5" spans="1:9" ht="17.100000000000001" customHeight="1" thickBot="1" x14ac:dyDescent="0.3">
      <c r="A5" s="1"/>
      <c r="B5" s="341"/>
      <c r="C5" s="531"/>
      <c r="D5" s="531"/>
      <c r="E5" s="341"/>
      <c r="H5" s="80">
        <v>3</v>
      </c>
      <c r="I5" s="80" t="s">
        <v>118</v>
      </c>
    </row>
    <row r="6" spans="1:9" ht="17.100000000000001" customHeight="1" x14ac:dyDescent="0.25">
      <c r="A6" s="1"/>
      <c r="B6" s="532"/>
      <c r="C6" s="533"/>
      <c r="D6" s="533"/>
      <c r="E6" s="534"/>
      <c r="H6" s="80">
        <v>4</v>
      </c>
    </row>
    <row r="7" spans="1:9" ht="17.100000000000001" customHeight="1" x14ac:dyDescent="0.25">
      <c r="A7" s="1"/>
      <c r="B7" s="346"/>
      <c r="C7" s="531" t="s">
        <v>279</v>
      </c>
      <c r="D7" s="531"/>
      <c r="E7" s="535"/>
      <c r="H7" s="80">
        <v>5</v>
      </c>
    </row>
    <row r="8" spans="1:9" ht="9.9499999999999993" customHeight="1" thickBot="1" x14ac:dyDescent="0.3">
      <c r="A8" s="1"/>
      <c r="B8" s="346"/>
      <c r="C8" s="531"/>
      <c r="D8" s="531"/>
      <c r="E8" s="535"/>
      <c r="H8" s="80" t="s">
        <v>118</v>
      </c>
    </row>
    <row r="9" spans="1:9" ht="33.950000000000003" customHeight="1" thickBot="1" x14ac:dyDescent="0.3">
      <c r="A9" s="1"/>
      <c r="B9" s="346"/>
      <c r="C9" s="628" t="s">
        <v>118</v>
      </c>
      <c r="D9" s="70" t="s">
        <v>288</v>
      </c>
      <c r="E9" s="535"/>
    </row>
    <row r="10" spans="1:9" ht="17.100000000000001" customHeight="1" thickBot="1" x14ac:dyDescent="0.3">
      <c r="A10" s="1"/>
      <c r="B10" s="348"/>
      <c r="C10" s="536"/>
      <c r="D10" s="536"/>
      <c r="E10" s="537"/>
    </row>
    <row r="11" spans="1:9" ht="17.100000000000001" customHeight="1" thickBot="1" x14ac:dyDescent="0.3">
      <c r="A11" s="1"/>
      <c r="B11" s="1"/>
      <c r="C11" s="26"/>
      <c r="D11" s="26"/>
      <c r="E11" s="1"/>
    </row>
    <row r="12" spans="1:9" ht="17.100000000000001" customHeight="1" thickBot="1" x14ac:dyDescent="0.3">
      <c r="A12" s="1"/>
      <c r="B12" s="6"/>
      <c r="C12" s="10"/>
      <c r="D12" s="11"/>
      <c r="E12" s="20"/>
    </row>
    <row r="13" spans="1:9" ht="17.100000000000001" customHeight="1" thickBot="1" x14ac:dyDescent="0.3">
      <c r="A13" s="2"/>
      <c r="B13" s="8"/>
      <c r="C13" s="111" t="s">
        <v>116</v>
      </c>
      <c r="D13" s="113" t="s">
        <v>29</v>
      </c>
      <c r="E13" s="22"/>
    </row>
    <row r="14" spans="1:9" ht="33.950000000000003" customHeight="1" thickBot="1" x14ac:dyDescent="0.35">
      <c r="A14" s="1"/>
      <c r="B14" s="7"/>
      <c r="C14" s="115">
        <v>0</v>
      </c>
      <c r="D14" s="116" t="s">
        <v>259</v>
      </c>
      <c r="E14" s="21"/>
      <c r="H14" s="138"/>
    </row>
    <row r="15" spans="1:9" ht="33.950000000000003" customHeight="1" thickBot="1" x14ac:dyDescent="0.3">
      <c r="A15" s="1"/>
      <c r="B15" s="7"/>
      <c r="C15" s="115">
        <v>1</v>
      </c>
      <c r="D15" s="116" t="s">
        <v>260</v>
      </c>
      <c r="E15" s="21"/>
    </row>
    <row r="16" spans="1:9" ht="33.950000000000003" customHeight="1" thickBot="1" x14ac:dyDescent="0.3">
      <c r="A16" s="1"/>
      <c r="B16" s="7"/>
      <c r="C16" s="115">
        <v>2</v>
      </c>
      <c r="D16" s="116" t="s">
        <v>261</v>
      </c>
      <c r="E16" s="21"/>
    </row>
    <row r="17" spans="1:5" ht="33.950000000000003" customHeight="1" thickBot="1" x14ac:dyDescent="0.3">
      <c r="A17" s="1"/>
      <c r="B17" s="7"/>
      <c r="C17" s="115">
        <v>3</v>
      </c>
      <c r="D17" s="116" t="s">
        <v>262</v>
      </c>
      <c r="E17" s="21"/>
    </row>
    <row r="18" spans="1:5" ht="33.950000000000003" customHeight="1" thickBot="1" x14ac:dyDescent="0.3">
      <c r="A18" s="1"/>
      <c r="B18" s="7"/>
      <c r="C18" s="115">
        <v>4</v>
      </c>
      <c r="D18" s="116" t="s">
        <v>263</v>
      </c>
      <c r="E18" s="21"/>
    </row>
    <row r="19" spans="1:5" ht="33.950000000000003" customHeight="1" thickBot="1" x14ac:dyDescent="0.3">
      <c r="A19" s="1"/>
      <c r="B19" s="7"/>
      <c r="C19" s="114">
        <v>5</v>
      </c>
      <c r="D19" s="112" t="s">
        <v>264</v>
      </c>
      <c r="E19" s="21"/>
    </row>
    <row r="20" spans="1:5" ht="17.100000000000001" customHeight="1" thickBot="1" x14ac:dyDescent="0.3">
      <c r="A20" s="1"/>
      <c r="B20" s="7"/>
      <c r="C20" s="37"/>
      <c r="D20" s="37"/>
      <c r="E20" s="21"/>
    </row>
    <row r="21" spans="1:5" ht="33.950000000000003" customHeight="1" thickBot="1" x14ac:dyDescent="0.3">
      <c r="A21" s="1"/>
      <c r="B21" s="7"/>
      <c r="C21" s="627" t="s">
        <v>118</v>
      </c>
      <c r="D21" s="117" t="s">
        <v>183</v>
      </c>
      <c r="E21" s="21"/>
    </row>
    <row r="22" spans="1:5" ht="16.5" thickBot="1" x14ac:dyDescent="0.3">
      <c r="A22" s="1"/>
      <c r="B22" s="31"/>
      <c r="C22" s="41"/>
      <c r="D22" s="19"/>
      <c r="E22" s="23"/>
    </row>
    <row r="23" spans="1:5" ht="18" x14ac:dyDescent="0.25">
      <c r="A23" s="1"/>
      <c r="B23" s="1"/>
      <c r="C23" s="26"/>
      <c r="D23" s="26"/>
      <c r="E23" s="1"/>
    </row>
    <row r="24" spans="1:5" ht="32.1" customHeight="1" x14ac:dyDescent="0.25">
      <c r="C24" s="139" t="str">
        <f>IF(C9=I4,"Criterion not applicable - no scoring will be considered for project assessment!","")</f>
        <v/>
      </c>
    </row>
    <row r="25" spans="1:5" ht="23.25" x14ac:dyDescent="0.35">
      <c r="B25" s="86"/>
    </row>
  </sheetData>
  <mergeCells count="1">
    <mergeCell ref="C3:D3"/>
  </mergeCells>
  <conditionalFormatting sqref="C21">
    <cfRule type="expression" dxfId="210" priority="1">
      <formula>$C$21&lt;&gt;$H$8</formula>
    </cfRule>
  </conditionalFormatting>
  <dataValidations count="2">
    <dataValidation type="list" allowBlank="1" showInputMessage="1" showErrorMessage="1" errorTitle="Wrong value!" error="Only integer values between 0 and 5 allowed." prompt="Izaberite ocjenu" sqref="C21">
      <formula1>$H$3:$H$8</formula1>
    </dataValidation>
    <dataValidation type="list" allowBlank="1" showInputMessage="1" showErrorMessage="1" error="Wrong input!" prompt="Provjerite da li je kriterij primjenjljiv" sqref="C9">
      <formula1>$I$3:$I$5</formula1>
    </dataValidation>
  </dataValidation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C15" sqref="C15"/>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s="80" customFormat="1" thickBot="1" x14ac:dyDescent="0.25">
      <c r="A1" s="1"/>
      <c r="B1" s="1"/>
      <c r="C1" s="24"/>
      <c r="D1" s="1"/>
      <c r="E1" s="1"/>
    </row>
    <row r="2" spans="1:8" s="80" customFormat="1" ht="17.100000000000001" customHeight="1" x14ac:dyDescent="0.2">
      <c r="A2" s="1"/>
      <c r="B2" s="6"/>
      <c r="C2" s="10"/>
      <c r="D2" s="11"/>
      <c r="E2" s="20"/>
      <c r="H2" s="80" t="s">
        <v>15</v>
      </c>
    </row>
    <row r="3" spans="1:8" s="80" customFormat="1" ht="17.100000000000001" customHeight="1" x14ac:dyDescent="0.2">
      <c r="A3" s="1"/>
      <c r="B3" s="7"/>
      <c r="C3" s="731" t="s">
        <v>289</v>
      </c>
      <c r="D3" s="731"/>
      <c r="E3" s="30"/>
      <c r="H3" s="80">
        <v>1</v>
      </c>
    </row>
    <row r="4" spans="1:8" s="80" customFormat="1" ht="17.100000000000001" customHeight="1" thickBot="1" x14ac:dyDescent="0.25">
      <c r="A4" s="1"/>
      <c r="B4" s="31"/>
      <c r="C4" s="32"/>
      <c r="D4" s="32"/>
      <c r="E4" s="23"/>
      <c r="H4" s="80">
        <v>2</v>
      </c>
    </row>
    <row r="5" spans="1:8" s="80" customFormat="1" ht="17.100000000000001" customHeight="1" thickBot="1" x14ac:dyDescent="0.25">
      <c r="A5" s="1"/>
      <c r="B5" s="1"/>
      <c r="C5" s="26"/>
      <c r="D5" s="26"/>
      <c r="E5" s="1"/>
      <c r="H5" s="80">
        <v>3</v>
      </c>
    </row>
    <row r="6" spans="1:8" s="80" customFormat="1" ht="17.100000000000001" customHeight="1" thickBot="1" x14ac:dyDescent="0.25">
      <c r="A6" s="1"/>
      <c r="B6" s="6"/>
      <c r="C6" s="10"/>
      <c r="D6" s="11"/>
      <c r="E6" s="20"/>
      <c r="H6" s="80">
        <v>4</v>
      </c>
    </row>
    <row r="7" spans="1:8" s="80" customFormat="1" ht="17.100000000000001" customHeight="1" thickBot="1" x14ac:dyDescent="0.25">
      <c r="A7" s="2"/>
      <c r="B7" s="8"/>
      <c r="C7" s="111" t="s">
        <v>116</v>
      </c>
      <c r="D7" s="113" t="s">
        <v>188</v>
      </c>
      <c r="E7" s="22"/>
      <c r="H7" s="80">
        <v>5</v>
      </c>
    </row>
    <row r="8" spans="1:8" s="80" customFormat="1" ht="33.950000000000003" customHeight="1" thickBot="1" x14ac:dyDescent="0.25">
      <c r="A8" s="1"/>
      <c r="B8" s="7"/>
      <c r="C8" s="115">
        <v>0</v>
      </c>
      <c r="D8" s="116" t="s">
        <v>259</v>
      </c>
      <c r="E8" s="21"/>
      <c r="H8" s="80" t="s">
        <v>118</v>
      </c>
    </row>
    <row r="9" spans="1:8" s="80" customFormat="1" ht="33.950000000000003" customHeight="1" thickBot="1" x14ac:dyDescent="0.25">
      <c r="A9" s="1"/>
      <c r="B9" s="7"/>
      <c r="C9" s="115">
        <v>1</v>
      </c>
      <c r="D9" s="116" t="s">
        <v>290</v>
      </c>
      <c r="E9" s="21"/>
    </row>
    <row r="10" spans="1:8" s="80" customFormat="1" ht="33.950000000000003" customHeight="1" thickBot="1" x14ac:dyDescent="0.25">
      <c r="A10" s="1"/>
      <c r="B10" s="7"/>
      <c r="C10" s="115">
        <v>2</v>
      </c>
      <c r="D10" s="116" t="s">
        <v>291</v>
      </c>
      <c r="E10" s="21"/>
    </row>
    <row r="11" spans="1:8" s="80" customFormat="1" ht="33.950000000000003" customHeight="1" thickBot="1" x14ac:dyDescent="0.25">
      <c r="A11" s="1"/>
      <c r="B11" s="7"/>
      <c r="C11" s="115">
        <v>3</v>
      </c>
      <c r="D11" s="116" t="s">
        <v>292</v>
      </c>
      <c r="E11" s="21"/>
    </row>
    <row r="12" spans="1:8" s="80" customFormat="1" ht="33.950000000000003" customHeight="1" thickBot="1" x14ac:dyDescent="0.25">
      <c r="A12" s="1"/>
      <c r="B12" s="7"/>
      <c r="C12" s="115">
        <v>4</v>
      </c>
      <c r="D12" s="116" t="s">
        <v>293</v>
      </c>
      <c r="E12" s="21"/>
    </row>
    <row r="13" spans="1:8" s="80" customFormat="1" ht="33.950000000000003" customHeight="1" thickBot="1" x14ac:dyDescent="0.25">
      <c r="A13" s="1"/>
      <c r="B13" s="7"/>
      <c r="C13" s="114">
        <v>5</v>
      </c>
      <c r="D13" s="112" t="s">
        <v>294</v>
      </c>
      <c r="E13" s="21"/>
    </row>
    <row r="14" spans="1:8" s="80" customFormat="1" ht="17.100000000000001" customHeight="1" thickBot="1" x14ac:dyDescent="0.25">
      <c r="A14" s="1"/>
      <c r="B14" s="7"/>
      <c r="C14" s="37"/>
      <c r="D14" s="37"/>
      <c r="E14" s="21"/>
    </row>
    <row r="15" spans="1:8" s="80" customFormat="1" ht="33.950000000000003" customHeight="1" thickBot="1" x14ac:dyDescent="0.25">
      <c r="A15" s="1"/>
      <c r="B15" s="7"/>
      <c r="C15" s="627" t="s">
        <v>118</v>
      </c>
      <c r="D15" s="117" t="s">
        <v>183</v>
      </c>
      <c r="E15" s="21"/>
    </row>
    <row r="16" spans="1:8" s="80" customFormat="1" thickBot="1" x14ac:dyDescent="0.25">
      <c r="A16" s="1"/>
      <c r="B16" s="31"/>
      <c r="C16" s="41"/>
      <c r="D16" s="19"/>
      <c r="E16" s="23"/>
    </row>
    <row r="17" spans="1:5" s="80" customFormat="1" ht="18" x14ac:dyDescent="0.2">
      <c r="A17" s="1"/>
      <c r="B17" s="1"/>
      <c r="C17" s="26"/>
      <c r="D17" s="26"/>
      <c r="E17" s="1"/>
    </row>
    <row r="19" spans="1:5" s="80" customFormat="1" ht="23.25" x14ac:dyDescent="0.35">
      <c r="B19" s="86"/>
    </row>
    <row r="21" spans="1:5" s="80" customFormat="1" ht="15" x14ac:dyDescent="0.2"/>
    <row r="22" spans="1:5" s="80" customFormat="1" ht="15" x14ac:dyDescent="0.2"/>
    <row r="23" spans="1:5" s="80" customFormat="1" ht="15" x14ac:dyDescent="0.2"/>
    <row r="24" spans="1:5" s="80" customFormat="1" ht="15" x14ac:dyDescent="0.2"/>
    <row r="25" spans="1:5" s="80" customFormat="1" ht="15" x14ac:dyDescent="0.2"/>
    <row r="26" spans="1:5" s="80" customFormat="1" ht="15" x14ac:dyDescent="0.2"/>
  </sheetData>
  <mergeCells count="1">
    <mergeCell ref="C3:D3"/>
  </mergeCells>
  <conditionalFormatting sqref="C15">
    <cfRule type="expression" dxfId="209"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I17" sqref="I17"/>
    </sheetView>
  </sheetViews>
  <sheetFormatPr defaultColWidth="11" defaultRowHeight="15.75" outlineLevelCol="1" x14ac:dyDescent="0.25"/>
  <cols>
    <col min="1" max="2" width="3.875" style="80" customWidth="1"/>
    <col min="3" max="3" width="9.375" style="80" customWidth="1"/>
    <col min="4" max="4" width="74.625" style="80" customWidth="1"/>
    <col min="5" max="5" width="3.875" style="80" customWidth="1"/>
    <col min="6" max="7" width="10.875" style="80"/>
    <col min="8" max="8" width="10.875" style="80" outlineLevel="1"/>
    <col min="9" max="10" width="10.875" style="80"/>
  </cols>
  <sheetData>
    <row r="1" spans="1:8" s="80" customFormat="1" thickBot="1" x14ac:dyDescent="0.25">
      <c r="A1" s="1"/>
      <c r="B1" s="1"/>
      <c r="C1" s="24"/>
      <c r="D1" s="1"/>
      <c r="E1" s="1"/>
    </row>
    <row r="2" spans="1:8" s="80" customFormat="1" ht="17.100000000000001" customHeight="1" x14ac:dyDescent="0.2">
      <c r="A2" s="1"/>
      <c r="B2" s="6"/>
      <c r="C2" s="10"/>
      <c r="D2" s="11"/>
      <c r="E2" s="20"/>
      <c r="H2" s="80" t="s">
        <v>15</v>
      </c>
    </row>
    <row r="3" spans="1:8" s="80" customFormat="1" ht="17.100000000000001" customHeight="1" x14ac:dyDescent="0.2">
      <c r="A3" s="1"/>
      <c r="B3" s="7"/>
      <c r="C3" s="731" t="s">
        <v>295</v>
      </c>
      <c r="D3" s="731"/>
      <c r="E3" s="30"/>
      <c r="H3" s="80">
        <v>1</v>
      </c>
    </row>
    <row r="4" spans="1:8" s="80" customFormat="1" ht="17.100000000000001" customHeight="1" thickBot="1" x14ac:dyDescent="0.25">
      <c r="A4" s="1"/>
      <c r="B4" s="31"/>
      <c r="C4" s="32"/>
      <c r="D4" s="32"/>
      <c r="E4" s="23"/>
      <c r="H4" s="80">
        <v>2</v>
      </c>
    </row>
    <row r="5" spans="1:8" s="80" customFormat="1" ht="17.100000000000001" customHeight="1" thickBot="1" x14ac:dyDescent="0.25">
      <c r="A5" s="1"/>
      <c r="B5" s="1"/>
      <c r="C5" s="26"/>
      <c r="D5" s="26"/>
      <c r="E5" s="1"/>
      <c r="H5" s="80">
        <v>3</v>
      </c>
    </row>
    <row r="6" spans="1:8" s="80" customFormat="1" ht="17.100000000000001" customHeight="1" thickBot="1" x14ac:dyDescent="0.25">
      <c r="A6" s="1"/>
      <c r="B6" s="6"/>
      <c r="C6" s="10"/>
      <c r="D6" s="11"/>
      <c r="E6" s="20"/>
      <c r="H6" s="80">
        <v>4</v>
      </c>
    </row>
    <row r="7" spans="1:8" s="80" customFormat="1" ht="17.100000000000001" customHeight="1" thickBot="1" x14ac:dyDescent="0.25">
      <c r="A7" s="2"/>
      <c r="B7" s="8"/>
      <c r="C7" s="111" t="s">
        <v>116</v>
      </c>
      <c r="D7" s="113" t="s">
        <v>296</v>
      </c>
      <c r="E7" s="22"/>
      <c r="H7" s="80">
        <v>5</v>
      </c>
    </row>
    <row r="8" spans="1:8" s="80" customFormat="1" ht="33.950000000000003" customHeight="1" thickBot="1" x14ac:dyDescent="0.25">
      <c r="A8" s="1"/>
      <c r="B8" s="7"/>
      <c r="C8" s="115">
        <v>0</v>
      </c>
      <c r="D8" s="116" t="s">
        <v>259</v>
      </c>
      <c r="E8" s="21"/>
      <c r="H8" s="80" t="s">
        <v>118</v>
      </c>
    </row>
    <row r="9" spans="1:8" s="80" customFormat="1" ht="33.950000000000003" customHeight="1" thickBot="1" x14ac:dyDescent="0.25">
      <c r="A9" s="1"/>
      <c r="B9" s="7"/>
      <c r="C9" s="115">
        <v>1</v>
      </c>
      <c r="D9" s="116" t="s">
        <v>24</v>
      </c>
      <c r="E9" s="21"/>
    </row>
    <row r="10" spans="1:8" s="80" customFormat="1" ht="33.950000000000003" customHeight="1" thickBot="1" x14ac:dyDescent="0.25">
      <c r="A10" s="1"/>
      <c r="B10" s="7"/>
      <c r="C10" s="115">
        <v>2</v>
      </c>
      <c r="D10" s="116" t="s">
        <v>25</v>
      </c>
      <c r="E10" s="21"/>
    </row>
    <row r="11" spans="1:8" s="80" customFormat="1" ht="33.950000000000003" customHeight="1" thickBot="1" x14ac:dyDescent="0.25">
      <c r="A11" s="1"/>
      <c r="B11" s="7"/>
      <c r="C11" s="115">
        <v>3</v>
      </c>
      <c r="D11" s="116" t="s">
        <v>26</v>
      </c>
      <c r="E11" s="21"/>
    </row>
    <row r="12" spans="1:8" s="80" customFormat="1" ht="33.950000000000003" customHeight="1" thickBot="1" x14ac:dyDescent="0.25">
      <c r="A12" s="1"/>
      <c r="B12" s="7"/>
      <c r="C12" s="115">
        <v>4</v>
      </c>
      <c r="D12" s="116" t="s">
        <v>27</v>
      </c>
      <c r="E12" s="21"/>
    </row>
    <row r="13" spans="1:8" s="80" customFormat="1" ht="33.950000000000003" customHeight="1" thickBot="1" x14ac:dyDescent="0.25">
      <c r="A13" s="1"/>
      <c r="B13" s="7"/>
      <c r="C13" s="114">
        <v>5</v>
      </c>
      <c r="D13" s="112" t="s">
        <v>28</v>
      </c>
      <c r="E13" s="21"/>
    </row>
    <row r="14" spans="1:8" s="80" customFormat="1" ht="17.100000000000001" customHeight="1" thickBot="1" x14ac:dyDescent="0.25">
      <c r="A14" s="1"/>
      <c r="B14" s="7"/>
      <c r="C14" s="37"/>
      <c r="D14" s="37"/>
      <c r="E14" s="21"/>
    </row>
    <row r="15" spans="1:8" s="80" customFormat="1" ht="33.950000000000003" customHeight="1" thickBot="1" x14ac:dyDescent="0.25">
      <c r="A15" s="1"/>
      <c r="B15" s="7"/>
      <c r="C15" s="627" t="s">
        <v>118</v>
      </c>
      <c r="D15" s="117" t="s">
        <v>183</v>
      </c>
      <c r="E15" s="21"/>
    </row>
    <row r="16" spans="1:8" s="80" customFormat="1" thickBot="1" x14ac:dyDescent="0.25">
      <c r="A16" s="1"/>
      <c r="B16" s="31"/>
      <c r="C16" s="41"/>
      <c r="D16" s="19"/>
      <c r="E16" s="23"/>
    </row>
    <row r="17" spans="1:5" s="80" customFormat="1" ht="18" x14ac:dyDescent="0.2">
      <c r="A17" s="1"/>
      <c r="B17" s="1"/>
      <c r="C17" s="26"/>
      <c r="D17" s="26"/>
      <c r="E17" s="1"/>
    </row>
    <row r="18" spans="1:5" ht="30" x14ac:dyDescent="0.25">
      <c r="D18" s="701" t="s">
        <v>297</v>
      </c>
    </row>
    <row r="19" spans="1:5" s="80" customFormat="1" ht="23.25" x14ac:dyDescent="0.35">
      <c r="B19" s="86"/>
    </row>
    <row r="21" spans="1:5" s="80" customFormat="1" ht="15" x14ac:dyDescent="0.2"/>
    <row r="22" spans="1:5" s="80" customFormat="1" ht="15" x14ac:dyDescent="0.2"/>
    <row r="23" spans="1:5" s="80" customFormat="1" ht="15" x14ac:dyDescent="0.2"/>
    <row r="24" spans="1:5" s="80" customFormat="1" ht="15" x14ac:dyDescent="0.2"/>
    <row r="25" spans="1:5" s="80" customFormat="1" ht="15" x14ac:dyDescent="0.2"/>
    <row r="26" spans="1:5" s="80" customFormat="1" ht="15" x14ac:dyDescent="0.2"/>
  </sheetData>
  <mergeCells count="1">
    <mergeCell ref="C3:D3"/>
  </mergeCells>
  <conditionalFormatting sqref="C15">
    <cfRule type="expression" dxfId="208" priority="1">
      <formula>$C$15&lt;&gt;$H$8</formula>
    </cfRule>
  </conditionalFormatting>
  <dataValidations count="1">
    <dataValidation type="list" allowBlank="1" showInputMessage="1" showErrorMessage="1" errorTitle="Wrong value!" error="Only integer values between 0 and 5 allowed." prompt="Izaberite ocjenu" sqref="C15">
      <formula1>$H$3:$H$8</formula1>
    </dataValidation>
  </dataValidation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showGridLines="0" zoomScaleNormal="100" workbookViewId="0">
      <selection activeCell="K9" sqref="K9"/>
    </sheetView>
  </sheetViews>
  <sheetFormatPr defaultColWidth="10.875" defaultRowHeight="15" outlineLevelCol="1" x14ac:dyDescent="0.2"/>
  <cols>
    <col min="1" max="2" width="3.875" style="80" customWidth="1"/>
    <col min="3" max="3" width="24.5" style="80" customWidth="1"/>
    <col min="4" max="4" width="10.875" style="80"/>
    <col min="5" max="5" width="10.875" style="80" customWidth="1"/>
    <col min="6" max="6" width="12.375" style="80" customWidth="1"/>
    <col min="7" max="7" width="2.875" style="80" customWidth="1"/>
    <col min="8" max="8" width="10.875" style="80"/>
    <col min="9" max="9" width="4" style="80" customWidth="1"/>
    <col min="10" max="12" width="10.875" style="80"/>
    <col min="13" max="14" width="10.875" style="80" customWidth="1" outlineLevel="1"/>
    <col min="15" max="16384" width="10.875" style="80"/>
  </cols>
  <sheetData>
    <row r="1" spans="2:14" ht="15.75" thickBot="1" x14ac:dyDescent="0.25"/>
    <row r="2" spans="2:14" x14ac:dyDescent="0.2">
      <c r="B2" s="780" t="s">
        <v>298</v>
      </c>
      <c r="C2" s="781"/>
      <c r="D2" s="781"/>
      <c r="E2" s="781"/>
      <c r="F2" s="781"/>
      <c r="G2" s="781"/>
      <c r="H2" s="781"/>
      <c r="I2" s="782"/>
    </row>
    <row r="3" spans="2:14" ht="15.75" x14ac:dyDescent="0.25">
      <c r="B3" s="783"/>
      <c r="C3" s="747"/>
      <c r="D3" s="747"/>
      <c r="E3" s="747"/>
      <c r="F3" s="747"/>
      <c r="G3" s="747"/>
      <c r="H3" s="747"/>
      <c r="I3" s="784"/>
      <c r="M3" s="686" t="s">
        <v>60</v>
      </c>
    </row>
    <row r="4" spans="2:14" ht="15.75" thickBot="1" x14ac:dyDescent="0.25">
      <c r="B4" s="785"/>
      <c r="C4" s="786"/>
      <c r="D4" s="786"/>
      <c r="E4" s="786"/>
      <c r="F4" s="786"/>
      <c r="G4" s="786"/>
      <c r="H4" s="786"/>
      <c r="I4" s="787"/>
      <c r="M4" s="80" t="s">
        <v>118</v>
      </c>
    </row>
    <row r="5" spans="2:14" ht="15.75" thickBot="1" x14ac:dyDescent="0.25"/>
    <row r="6" spans="2:14" ht="15.75" thickBot="1" x14ac:dyDescent="0.25">
      <c r="B6" s="6"/>
      <c r="C6" s="11"/>
      <c r="D6" s="10"/>
      <c r="E6" s="10"/>
      <c r="F6" s="11"/>
      <c r="G6" s="250"/>
      <c r="H6" s="250"/>
      <c r="I6" s="251"/>
    </row>
    <row r="7" spans="2:14" ht="48" thickBot="1" x14ac:dyDescent="0.25">
      <c r="B7" s="7"/>
      <c r="C7" s="62" t="s">
        <v>115</v>
      </c>
      <c r="D7" s="63" t="s">
        <v>183</v>
      </c>
      <c r="E7" s="705" t="s">
        <v>299</v>
      </c>
      <c r="F7" s="63" t="s">
        <v>185</v>
      </c>
      <c r="G7" s="46"/>
      <c r="H7" s="539" t="s">
        <v>300</v>
      </c>
      <c r="I7" s="49"/>
      <c r="M7" s="778" t="s">
        <v>96</v>
      </c>
      <c r="N7" s="779"/>
    </row>
    <row r="8" spans="2:14" ht="17.100000000000001" customHeight="1" x14ac:dyDescent="0.2">
      <c r="B8" s="8"/>
      <c r="C8" s="77" t="s">
        <v>301</v>
      </c>
      <c r="D8" s="84" t="str">
        <f>'PP1 - PP dokumentacija'!C15</f>
        <v>Izaberite</v>
      </c>
      <c r="E8" s="78">
        <f>N8</f>
        <v>0.29999999999999993</v>
      </c>
      <c r="F8" s="79" t="str">
        <f>IF(ISNUMBER(D8),E8*D8,"")</f>
        <v/>
      </c>
      <c r="G8" s="435">
        <f t="shared" ref="G8:G16" si="0">IF(D8=$M$4,0,1)</f>
        <v>0</v>
      </c>
      <c r="H8" s="545">
        <v>0.3</v>
      </c>
      <c r="I8" s="49"/>
      <c r="M8" s="540">
        <f>IF(D8&lt;&gt;"",H8,0%)</f>
        <v>0.3</v>
      </c>
      <c r="N8" s="78">
        <f t="shared" ref="N8:N16" si="1">M8/$M$17</f>
        <v>0.29999999999999993</v>
      </c>
    </row>
    <row r="9" spans="2:14" ht="17.100000000000001" customHeight="1" x14ac:dyDescent="0.2">
      <c r="B9" s="7"/>
      <c r="C9" s="77" t="s">
        <v>302</v>
      </c>
      <c r="D9" s="84" t="str">
        <f>'PP2 - Direktno korištenje t.v.'!C15</f>
        <v>Izaberite</v>
      </c>
      <c r="E9" s="78">
        <f>N9</f>
        <v>0.11999999999999997</v>
      </c>
      <c r="F9" s="79" t="str">
        <f t="shared" ref="F9:F16" si="2">IF(ISNUMBER(D9),E9*D9,"")</f>
        <v/>
      </c>
      <c r="G9" s="435">
        <f t="shared" si="0"/>
        <v>0</v>
      </c>
      <c r="H9" s="545">
        <v>0.12</v>
      </c>
      <c r="I9" s="49"/>
      <c r="M9" s="540">
        <f>IF(D9&lt;&gt;"",H9,0%)</f>
        <v>0.12</v>
      </c>
      <c r="N9" s="78">
        <f t="shared" si="1"/>
        <v>0.11999999999999997</v>
      </c>
    </row>
    <row r="10" spans="2:14" ht="17.100000000000001" customHeight="1" x14ac:dyDescent="0.2">
      <c r="B10" s="7"/>
      <c r="C10" s="77" t="s">
        <v>303</v>
      </c>
      <c r="D10" s="84" t="str">
        <f>'PP3 - Infrastruktura'!C15</f>
        <v>Izaberite</v>
      </c>
      <c r="E10" s="78">
        <f>N10</f>
        <v>0.11999999999999997</v>
      </c>
      <c r="F10" s="79" t="str">
        <f t="shared" si="2"/>
        <v/>
      </c>
      <c r="G10" s="435">
        <f t="shared" si="0"/>
        <v>0</v>
      </c>
      <c r="H10" s="545">
        <v>0.12</v>
      </c>
      <c r="I10" s="49"/>
      <c r="M10" s="540">
        <f>IF(D10&lt;&gt;"",H10,0%)</f>
        <v>0.12</v>
      </c>
      <c r="N10" s="78">
        <f t="shared" si="1"/>
        <v>0.11999999999999997</v>
      </c>
    </row>
    <row r="11" spans="2:14" x14ac:dyDescent="0.2">
      <c r="B11" s="7"/>
      <c r="C11" s="77" t="s">
        <v>304</v>
      </c>
      <c r="D11" s="84" t="str">
        <f>'PP4 - Poljoprivreda'!C15</f>
        <v>Izaberite</v>
      </c>
      <c r="E11" s="78">
        <f>N11</f>
        <v>5.9999999999999984E-2</v>
      </c>
      <c r="F11" s="79" t="str">
        <f t="shared" si="2"/>
        <v/>
      </c>
      <c r="G11" s="435">
        <f t="shared" si="0"/>
        <v>0</v>
      </c>
      <c r="H11" s="545">
        <v>0.06</v>
      </c>
      <c r="I11" s="49"/>
      <c r="M11" s="540">
        <f>IF(D11&lt;&gt;"",H11,0%)</f>
        <v>0.06</v>
      </c>
      <c r="N11" s="78">
        <f t="shared" si="1"/>
        <v>5.9999999999999984E-2</v>
      </c>
    </row>
    <row r="12" spans="2:14" x14ac:dyDescent="0.2">
      <c r="B12" s="7"/>
      <c r="C12" s="77" t="s">
        <v>305</v>
      </c>
      <c r="D12" s="84" t="str">
        <f>'PP5 - Šumarstvo'!C15</f>
        <v>Izaberite</v>
      </c>
      <c r="E12" s="78">
        <f>N12</f>
        <v>7.9999999999999988E-2</v>
      </c>
      <c r="F12" s="79" t="str">
        <f t="shared" si="2"/>
        <v/>
      </c>
      <c r="G12" s="435">
        <f t="shared" si="0"/>
        <v>0</v>
      </c>
      <c r="H12" s="545">
        <v>0.08</v>
      </c>
      <c r="I12" s="49"/>
      <c r="M12" s="540">
        <f>IF(D12&lt;&gt;"",H12,0%)</f>
        <v>0.08</v>
      </c>
      <c r="N12" s="78">
        <f t="shared" si="1"/>
        <v>7.9999999999999988E-2</v>
      </c>
    </row>
    <row r="13" spans="2:14" x14ac:dyDescent="0.2">
      <c r="B13" s="7"/>
      <c r="C13" s="77" t="s">
        <v>306</v>
      </c>
      <c r="D13" s="84" t="str">
        <f>IF('PP6 - Kulturna dobra'!C9="no","not applicable",'PP6 - Kulturna dobra'!C21)</f>
        <v>Izaberite</v>
      </c>
      <c r="E13" s="78">
        <f>IF(D13="not applicable","",N13)</f>
        <v>9.9999999999999978E-2</v>
      </c>
      <c r="F13" s="79" t="str">
        <f t="shared" si="2"/>
        <v/>
      </c>
      <c r="G13" s="435">
        <f t="shared" si="0"/>
        <v>0</v>
      </c>
      <c r="H13" s="545">
        <v>0.1</v>
      </c>
      <c r="I13" s="49"/>
      <c r="M13" s="540">
        <f>IF(D13="not applicable",0%,H13)</f>
        <v>0.1</v>
      </c>
      <c r="N13" s="78">
        <f t="shared" si="1"/>
        <v>9.9999999999999978E-2</v>
      </c>
    </row>
    <row r="14" spans="2:14" x14ac:dyDescent="0.2">
      <c r="B14" s="7"/>
      <c r="C14" s="77" t="s">
        <v>307</v>
      </c>
      <c r="D14" s="84" t="str">
        <f>IF('PP7 - Turizam'!C9="no","not applicable",'PP7 - Turizam'!C21)</f>
        <v>Izaberite</v>
      </c>
      <c r="E14" s="78">
        <f>IF(D14="not applicable","",N14)</f>
        <v>5.9999999999999984E-2</v>
      </c>
      <c r="F14" s="79" t="str">
        <f t="shared" si="2"/>
        <v/>
      </c>
      <c r="G14" s="435">
        <f t="shared" si="0"/>
        <v>0</v>
      </c>
      <c r="H14" s="545">
        <v>0.06</v>
      </c>
      <c r="I14" s="49"/>
      <c r="M14" s="540">
        <f>IF(D14="not applicable",0%,H14)</f>
        <v>0.06</v>
      </c>
      <c r="N14" s="78">
        <f t="shared" si="1"/>
        <v>5.9999999999999984E-2</v>
      </c>
    </row>
    <row r="15" spans="2:14" x14ac:dyDescent="0.2">
      <c r="B15" s="7"/>
      <c r="C15" s="77" t="s">
        <v>308</v>
      </c>
      <c r="D15" s="84" t="str">
        <f>'PP8 - Mineralni resursi'!C15</f>
        <v>Izaberite</v>
      </c>
      <c r="E15" s="78">
        <f>N15</f>
        <v>5.9999999999999984E-2</v>
      </c>
      <c r="F15" s="79" t="str">
        <f t="shared" si="2"/>
        <v/>
      </c>
      <c r="G15" s="435">
        <f t="shared" si="0"/>
        <v>0</v>
      </c>
      <c r="H15" s="545">
        <v>0.06</v>
      </c>
      <c r="I15" s="49"/>
      <c r="M15" s="540">
        <f>IF(D15&lt;&gt;"",H15,0%)</f>
        <v>0.06</v>
      </c>
      <c r="N15" s="78">
        <f t="shared" si="1"/>
        <v>5.9999999999999984E-2</v>
      </c>
    </row>
    <row r="16" spans="2:14" ht="15.75" thickBot="1" x14ac:dyDescent="0.25">
      <c r="B16" s="7"/>
      <c r="C16" s="77" t="s">
        <v>309</v>
      </c>
      <c r="D16" s="84" t="str">
        <f>'PP9 - Lokalna privreda'!C15</f>
        <v>Izaberite</v>
      </c>
      <c r="E16" s="78">
        <f>N16</f>
        <v>9.9999999999999978E-2</v>
      </c>
      <c r="F16" s="79" t="str">
        <f t="shared" si="2"/>
        <v/>
      </c>
      <c r="G16" s="435">
        <f t="shared" si="0"/>
        <v>0</v>
      </c>
      <c r="H16" s="546">
        <v>0.1</v>
      </c>
      <c r="I16" s="49"/>
      <c r="M16" s="541">
        <f>IF(D16&lt;&gt;"",H16,0%)</f>
        <v>0.1</v>
      </c>
      <c r="N16" s="542">
        <f t="shared" si="1"/>
        <v>9.9999999999999978E-2</v>
      </c>
    </row>
    <row r="17" spans="2:14" ht="16.5" thickBot="1" x14ac:dyDescent="0.25">
      <c r="B17" s="8"/>
      <c r="C17" s="81" t="s">
        <v>310</v>
      </c>
      <c r="D17" s="83"/>
      <c r="E17" s="538">
        <f>SUM(E8:E16)</f>
        <v>0.99999999999999967</v>
      </c>
      <c r="F17" s="85" t="str">
        <f>IF(SUM(G8:G16)=9,SUM(F8:F16),"")</f>
        <v/>
      </c>
      <c r="G17" s="46"/>
      <c r="H17" s="543">
        <f>SUM(H8:H16)</f>
        <v>1.0000000000000002</v>
      </c>
      <c r="I17" s="49"/>
      <c r="M17" s="543">
        <f>SUM(M8:M16)</f>
        <v>1.0000000000000002</v>
      </c>
      <c r="N17" s="544">
        <f>SUM(N8:N16)</f>
        <v>0.99999999999999967</v>
      </c>
    </row>
    <row r="18" spans="2:14" ht="15.75" thickBot="1" x14ac:dyDescent="0.25">
      <c r="B18" s="31"/>
      <c r="C18" s="18"/>
      <c r="D18" s="18"/>
      <c r="E18" s="18"/>
      <c r="F18" s="18"/>
      <c r="G18" s="51"/>
      <c r="H18" s="51"/>
      <c r="I18" s="212"/>
    </row>
    <row r="20" spans="2:14" x14ac:dyDescent="0.2">
      <c r="D20" s="556" t="str">
        <f>IF(F17="","-",(F17*(5/4)-(5/4))/5)</f>
        <v>-</v>
      </c>
      <c r="E20" s="80" t="s">
        <v>313</v>
      </c>
    </row>
    <row r="21" spans="2:14" ht="15.75" thickBot="1" x14ac:dyDescent="0.25"/>
    <row r="22" spans="2:14" x14ac:dyDescent="0.2">
      <c r="B22" s="249"/>
      <c r="C22" s="250"/>
      <c r="D22" s="250"/>
      <c r="E22" s="250"/>
      <c r="F22" s="250"/>
      <c r="G22" s="250"/>
      <c r="H22" s="250"/>
      <c r="I22" s="251"/>
    </row>
    <row r="23" spans="2:14" ht="15.75" x14ac:dyDescent="0.2">
      <c r="B23" s="45"/>
      <c r="C23" s="34" t="s">
        <v>311</v>
      </c>
      <c r="D23" s="34"/>
      <c r="E23" s="46"/>
      <c r="F23" s="46"/>
      <c r="G23" s="46"/>
      <c r="H23" s="46"/>
      <c r="I23" s="49"/>
    </row>
    <row r="24" spans="2:14" ht="9.9499999999999993" customHeight="1" thickBot="1" x14ac:dyDescent="0.25">
      <c r="B24" s="45"/>
      <c r="C24" s="46"/>
      <c r="D24" s="46"/>
      <c r="E24" s="46"/>
      <c r="F24" s="46"/>
      <c r="G24" s="46"/>
      <c r="H24" s="46"/>
      <c r="I24" s="49"/>
    </row>
    <row r="25" spans="2:14" ht="33.950000000000003" customHeight="1" thickBot="1" x14ac:dyDescent="0.25">
      <c r="B25" s="45"/>
      <c r="C25" s="774" t="s">
        <v>312</v>
      </c>
      <c r="D25" s="775"/>
      <c r="E25" s="776" t="str">
        <f>IF(F17&lt;&gt;"",F17*(5/4)-(5/4),"")</f>
        <v/>
      </c>
      <c r="F25" s="777"/>
      <c r="G25" s="46"/>
      <c r="H25" s="46"/>
      <c r="I25" s="49"/>
    </row>
    <row r="26" spans="2:14" ht="15.75" thickBot="1" x14ac:dyDescent="0.25">
      <c r="B26" s="211"/>
      <c r="C26" s="51"/>
      <c r="D26" s="51"/>
      <c r="E26" s="51"/>
      <c r="F26" s="51"/>
      <c r="G26" s="51"/>
      <c r="H26" s="51"/>
      <c r="I26" s="212"/>
    </row>
    <row r="28" spans="2:14" x14ac:dyDescent="0.2">
      <c r="D28" s="76"/>
    </row>
  </sheetData>
  <mergeCells count="4">
    <mergeCell ref="C25:D25"/>
    <mergeCell ref="E25:F25"/>
    <mergeCell ref="M7:N7"/>
    <mergeCell ref="B2:I4"/>
  </mergeCells>
  <pageMargins left="0.7" right="0.7" top="0.78740157499999996" bottom="0.78740157499999996"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showGridLines="0" topLeftCell="H1" zoomScaleNormal="100" workbookViewId="0">
      <selection activeCell="E24" sqref="E24:F24"/>
    </sheetView>
  </sheetViews>
  <sheetFormatPr defaultColWidth="10.875" defaultRowHeight="15" outlineLevelCol="1" x14ac:dyDescent="0.2"/>
  <cols>
    <col min="1" max="1" width="2.875" style="80" customWidth="1"/>
    <col min="2" max="2" width="4.125" style="80" customWidth="1"/>
    <col min="3" max="3" width="8.5" style="80" customWidth="1"/>
    <col min="4" max="4" width="22.625" style="80" customWidth="1"/>
    <col min="5" max="5" width="12.375" style="80" customWidth="1"/>
    <col min="6" max="6" width="60.5" style="80" customWidth="1"/>
    <col min="7" max="7" width="18.5" style="80" customWidth="1"/>
    <col min="8" max="8" width="10.625" style="80" customWidth="1"/>
    <col min="9" max="9" width="4.125" style="80" customWidth="1"/>
    <col min="10" max="11" width="10.875" style="80"/>
    <col min="12" max="12" width="73.125" style="80" customWidth="1" outlineLevel="1"/>
    <col min="13" max="13" width="12.375" style="80" customWidth="1" outlineLevel="1"/>
    <col min="14" max="14" width="10.375" style="80" customWidth="1" outlineLevel="1"/>
    <col min="15" max="15" width="10.875" style="80" outlineLevel="1"/>
    <col min="16" max="16" width="110.375" style="80" customWidth="1" outlineLevel="1"/>
    <col min="17" max="17" width="10.875" style="80" outlineLevel="1"/>
    <col min="18" max="18" width="12" style="80" customWidth="1" outlineLevel="1"/>
    <col min="19" max="16384" width="10.875" style="80"/>
  </cols>
  <sheetData>
    <row r="1" spans="2:18" s="1" customFormat="1" ht="17.100000000000001" customHeight="1" thickBot="1" x14ac:dyDescent="0.25">
      <c r="C1" s="24"/>
      <c r="D1" s="24"/>
      <c r="E1" s="24"/>
      <c r="G1" s="25"/>
      <c r="H1" s="25"/>
    </row>
    <row r="2" spans="2:18" s="1" customFormat="1" ht="14.1" customHeight="1" thickBot="1" x14ac:dyDescent="0.25">
      <c r="B2" s="189"/>
      <c r="C2" s="190"/>
      <c r="D2" s="190"/>
      <c r="E2" s="190"/>
      <c r="F2" s="191"/>
      <c r="G2" s="191"/>
      <c r="H2" s="191"/>
      <c r="I2" s="192"/>
      <c r="K2" s="25"/>
      <c r="L2" s="189" t="s">
        <v>319</v>
      </c>
      <c r="M2" s="797" t="s">
        <v>332</v>
      </c>
      <c r="N2" s="798"/>
      <c r="P2" s="189" t="s">
        <v>322</v>
      </c>
      <c r="Q2" s="191"/>
      <c r="R2" s="192"/>
    </row>
    <row r="3" spans="2:18" s="1" customFormat="1" ht="17.100000000000001" customHeight="1" thickBot="1" x14ac:dyDescent="0.25">
      <c r="B3" s="47"/>
      <c r="C3" s="193" t="s">
        <v>314</v>
      </c>
      <c r="D3" s="193"/>
      <c r="E3" s="193"/>
      <c r="F3" s="193"/>
      <c r="G3" s="193"/>
      <c r="H3" s="193"/>
      <c r="I3" s="194"/>
      <c r="K3" s="25"/>
      <c r="L3" s="225" t="s">
        <v>321</v>
      </c>
      <c r="M3" s="226" t="s">
        <v>34</v>
      </c>
      <c r="N3" s="362">
        <v>2</v>
      </c>
      <c r="P3" s="225" t="s">
        <v>323</v>
      </c>
      <c r="Q3" s="226">
        <v>1</v>
      </c>
      <c r="R3" s="227" t="s">
        <v>327</v>
      </c>
    </row>
    <row r="4" spans="2:18" s="1" customFormat="1" ht="17.100000000000001" customHeight="1" thickBot="1" x14ac:dyDescent="0.25">
      <c r="B4" s="195"/>
      <c r="C4" s="196"/>
      <c r="D4" s="196"/>
      <c r="E4" s="196"/>
      <c r="F4" s="196"/>
      <c r="G4" s="196"/>
      <c r="H4" s="196"/>
      <c r="I4" s="197"/>
      <c r="K4" s="25"/>
      <c r="L4" s="230" t="s">
        <v>320</v>
      </c>
      <c r="M4" s="365" t="s">
        <v>35</v>
      </c>
      <c r="N4" s="366">
        <v>3</v>
      </c>
      <c r="P4" s="228" t="s">
        <v>324</v>
      </c>
      <c r="Q4" s="224">
        <v>2</v>
      </c>
      <c r="R4" s="229" t="s">
        <v>328</v>
      </c>
    </row>
    <row r="5" spans="2:18" s="1" customFormat="1" ht="14.1" customHeight="1" x14ac:dyDescent="0.2">
      <c r="P5" s="228" t="s">
        <v>325</v>
      </c>
      <c r="Q5" s="224">
        <v>3</v>
      </c>
      <c r="R5" s="229" t="s">
        <v>328</v>
      </c>
    </row>
    <row r="6" spans="2:18" s="1" customFormat="1" ht="13.5" thickBot="1" x14ac:dyDescent="0.25">
      <c r="D6" s="24"/>
      <c r="E6" s="24"/>
      <c r="G6" s="25"/>
      <c r="P6" s="230" t="s">
        <v>326</v>
      </c>
      <c r="Q6" s="231">
        <v>4</v>
      </c>
      <c r="R6" s="232" t="s">
        <v>329</v>
      </c>
    </row>
    <row r="7" spans="2:18" s="186" customFormat="1" ht="14.1" customHeight="1" thickBot="1" x14ac:dyDescent="0.25">
      <c r="B7" s="189"/>
      <c r="C7" s="191"/>
      <c r="D7" s="191"/>
      <c r="E7" s="191"/>
      <c r="F7" s="191"/>
      <c r="G7" s="11"/>
      <c r="H7" s="11"/>
      <c r="I7" s="20"/>
      <c r="K7" s="1"/>
      <c r="N7" s="203"/>
    </row>
    <row r="8" spans="2:18" ht="33.950000000000003" customHeight="1" thickBot="1" x14ac:dyDescent="0.25">
      <c r="B8" s="201"/>
      <c r="C8" s="216" t="s">
        <v>330</v>
      </c>
      <c r="D8" s="371" t="s">
        <v>110</v>
      </c>
      <c r="E8" s="216" t="s">
        <v>315</v>
      </c>
      <c r="F8" s="216" t="s">
        <v>316</v>
      </c>
      <c r="G8" s="216" t="s">
        <v>317</v>
      </c>
      <c r="H8" s="46"/>
      <c r="I8" s="21"/>
      <c r="K8" s="186"/>
    </row>
    <row r="9" spans="2:18" ht="33.950000000000003" customHeight="1" thickBot="1" x14ac:dyDescent="0.25">
      <c r="B9" s="563">
        <f>'Unos podataka'!F14</f>
        <v>1</v>
      </c>
      <c r="C9" s="207" t="str">
        <f>'Unos podataka'!G14</f>
        <v># 1</v>
      </c>
      <c r="D9" s="370">
        <f>IF(B9&lt;&gt;"",'Unos podataka'!H14,"")</f>
        <v>0</v>
      </c>
      <c r="E9" s="367">
        <f>IF(C9="","",'Unos podataka'!I14)</f>
        <v>0</v>
      </c>
      <c r="F9" s="638"/>
      <c r="G9" s="214" t="str">
        <f>IF(B9=1,IF(F9=$L$3,$M$3,IF(F9=$L$4,$M$4,"")),"")</f>
        <v/>
      </c>
      <c r="H9" s="369">
        <f>IF(F9="",1,0)</f>
        <v>1</v>
      </c>
      <c r="I9" s="21"/>
    </row>
    <row r="10" spans="2:18" ht="33.950000000000003" customHeight="1" thickBot="1" x14ac:dyDescent="0.25">
      <c r="B10" s="563">
        <f>'Unos podataka'!F15</f>
        <v>1</v>
      </c>
      <c r="C10" s="207" t="str">
        <f>'Unos podataka'!G15</f>
        <v># 2</v>
      </c>
      <c r="D10" s="370">
        <f>IF(B10&lt;&gt;"",'Unos podataka'!H15,"")</f>
        <v>0</v>
      </c>
      <c r="E10" s="367">
        <f>IF(C10="","",'Unos podataka'!I15)</f>
        <v>0</v>
      </c>
      <c r="F10" s="638"/>
      <c r="G10" s="214" t="str">
        <f>IF(B10=1,IF(F10=$L$3,$M$3,IF(F10=$L$4,$M$4,"")),"")</f>
        <v/>
      </c>
      <c r="H10" s="369">
        <f>IF(F10="",1,0)</f>
        <v>1</v>
      </c>
      <c r="I10" s="21"/>
    </row>
    <row r="11" spans="2:18" ht="33.950000000000003" customHeight="1" thickBot="1" x14ac:dyDescent="0.25">
      <c r="B11" s="563" t="str">
        <f>'Unos podataka'!F16</f>
        <v/>
      </c>
      <c r="C11" s="207" t="str">
        <f>'Unos podataka'!G16</f>
        <v/>
      </c>
      <c r="D11" s="370" t="str">
        <f>IF(B11&lt;&gt;"",'Unos podataka'!H16,"")</f>
        <v/>
      </c>
      <c r="E11" s="367" t="str">
        <f>IF(C11="","",'Unos podataka'!I16)</f>
        <v/>
      </c>
      <c r="F11" s="638"/>
      <c r="G11" s="214" t="str">
        <f>IF(B11=1,IF(F11=$L$3,$M$3,IF(F11=$L$4,$M$4,"")),"")</f>
        <v/>
      </c>
      <c r="H11" s="369">
        <f>IF(F11="",1,0)</f>
        <v>1</v>
      </c>
      <c r="I11" s="21"/>
    </row>
    <row r="12" spans="2:18" ht="33.950000000000003" customHeight="1" thickBot="1" x14ac:dyDescent="0.25">
      <c r="B12" s="563" t="str">
        <f>'Unos podataka'!F17</f>
        <v/>
      </c>
      <c r="C12" s="207" t="str">
        <f>'Unos podataka'!G17</f>
        <v/>
      </c>
      <c r="D12" s="370" t="str">
        <f>IF(B12&lt;&gt;"",'Unos podataka'!H17,"")</f>
        <v/>
      </c>
      <c r="E12" s="367" t="str">
        <f>IF(C12="","",'Unos podataka'!I17)</f>
        <v/>
      </c>
      <c r="F12" s="638"/>
      <c r="G12" s="214" t="str">
        <f>IF(B12=1,IF(F12=$L$3,$M$3,IF(F12=$L$4,$M$4,"")),"")</f>
        <v/>
      </c>
      <c r="H12" s="369">
        <f>IF(F12="",1,0)</f>
        <v>1</v>
      </c>
      <c r="I12" s="21"/>
    </row>
    <row r="13" spans="2:18" ht="33.950000000000003" customHeight="1" thickBot="1" x14ac:dyDescent="0.25">
      <c r="B13" s="563" t="str">
        <f>'Unos podataka'!F18</f>
        <v/>
      </c>
      <c r="C13" s="222" t="str">
        <f>'Unos podataka'!G18</f>
        <v/>
      </c>
      <c r="D13" s="370" t="str">
        <f>IF(B13&lt;&gt;"",'Unos podataka'!H18,"")</f>
        <v/>
      </c>
      <c r="E13" s="367" t="str">
        <f>IF(C13="","",'Unos podataka'!I18)</f>
        <v/>
      </c>
      <c r="F13" s="638"/>
      <c r="G13" s="206" t="str">
        <f>IF(B13=1,IF(F13=$L$3,$M$3,IF(F13=$L$4,$M$4,"")),"")</f>
        <v/>
      </c>
      <c r="H13" s="369">
        <f>IF(F13="",1,0)</f>
        <v>1</v>
      </c>
      <c r="I13" s="21"/>
      <c r="L13" s="80">
        <f>SUMPRODUCT(B9:B13)</f>
        <v>2</v>
      </c>
    </row>
    <row r="14" spans="2:18" ht="15.75" thickBot="1" x14ac:dyDescent="0.25">
      <c r="B14" s="204"/>
      <c r="C14" s="720" t="s">
        <v>318</v>
      </c>
      <c r="D14" s="721"/>
      <c r="E14" s="213">
        <f>SUM(E9:E13)</f>
        <v>0</v>
      </c>
      <c r="F14" s="46"/>
      <c r="G14" s="46"/>
      <c r="H14" s="435"/>
      <c r="I14" s="21"/>
    </row>
    <row r="15" spans="2:18" ht="15.75" thickBot="1" x14ac:dyDescent="0.25">
      <c r="B15" s="45"/>
      <c r="C15" s="369"/>
      <c r="D15" s="46"/>
      <c r="E15" s="46"/>
      <c r="F15" s="46"/>
      <c r="G15" s="46"/>
      <c r="H15" s="435"/>
      <c r="I15" s="21"/>
    </row>
    <row r="16" spans="2:18" ht="15.95" customHeight="1" x14ac:dyDescent="0.2">
      <c r="B16" s="47"/>
      <c r="C16" s="790" t="str">
        <f>IF(C9="","",IF(SUMPRODUCT(B9:B13,H9:H13)&lt;&gt;0,"Hidromorfološki status vodnog tijela nije unesen!", "Hidromorfološki status vodnog tijela unesen"))</f>
        <v>Hidromorfološki status vodnog tijela nije unesen!</v>
      </c>
      <c r="D16" s="791"/>
      <c r="E16" s="791"/>
      <c r="F16" s="791"/>
      <c r="G16" s="792"/>
      <c r="H16" s="801">
        <f>IF(C9="",0,IF(SUMPRODUCT(B9:B13,H9:H13)&lt;&gt;0,0,1))</f>
        <v>0</v>
      </c>
      <c r="I16" s="49"/>
    </row>
    <row r="17" spans="2:9" ht="17.100000000000001" customHeight="1" thickBot="1" x14ac:dyDescent="0.25">
      <c r="B17" s="201"/>
      <c r="C17" s="793"/>
      <c r="D17" s="794"/>
      <c r="E17" s="794"/>
      <c r="F17" s="794"/>
      <c r="G17" s="795"/>
      <c r="H17" s="801"/>
      <c r="I17" s="49"/>
    </row>
    <row r="18" spans="2:9" ht="15.75" thickBot="1" x14ac:dyDescent="0.25">
      <c r="B18" s="373"/>
      <c r="C18" s="51"/>
      <c r="D18" s="51"/>
      <c r="E18" s="51"/>
      <c r="F18" s="51"/>
      <c r="G18" s="51"/>
      <c r="H18" s="51"/>
      <c r="I18" s="212"/>
    </row>
    <row r="20" spans="2:9" ht="15.75" thickBot="1" x14ac:dyDescent="0.25"/>
    <row r="21" spans="2:9" ht="15.75" thickBot="1" x14ac:dyDescent="0.25">
      <c r="B21" s="189"/>
      <c r="C21" s="191"/>
      <c r="D21" s="191"/>
      <c r="E21" s="191"/>
      <c r="F21" s="11"/>
      <c r="G21" s="11"/>
      <c r="H21" s="11"/>
      <c r="I21" s="20"/>
    </row>
    <row r="22" spans="2:9" ht="18" customHeight="1" thickBot="1" x14ac:dyDescent="0.25">
      <c r="B22" s="201"/>
      <c r="C22" s="216" t="s">
        <v>330</v>
      </c>
      <c r="D22" s="374" t="s">
        <v>110</v>
      </c>
      <c r="E22" s="799" t="s">
        <v>331</v>
      </c>
      <c r="F22" s="800"/>
      <c r="G22" s="217" t="s">
        <v>116</v>
      </c>
      <c r="H22" s="217" t="s">
        <v>184</v>
      </c>
      <c r="I22" s="21"/>
    </row>
    <row r="23" spans="2:9" ht="29.1" customHeight="1" thickBot="1" x14ac:dyDescent="0.25">
      <c r="B23" s="204">
        <f>B9</f>
        <v>1</v>
      </c>
      <c r="C23" s="207" t="str">
        <f>'Unos podataka'!G14</f>
        <v># 1</v>
      </c>
      <c r="D23" s="372">
        <f>IF(B9&lt;&gt;"",'Unos podataka'!H14,"")</f>
        <v>0</v>
      </c>
      <c r="E23" s="788"/>
      <c r="F23" s="789"/>
      <c r="G23" s="218" t="str">
        <f>IF(OR(G9="",E23=""),"",VLOOKUP(MATCH(E23,$P$3:$P$6,0),$Q$3:$R$6,2))</f>
        <v/>
      </c>
      <c r="H23" s="220" t="str">
        <f>G9</f>
        <v/>
      </c>
      <c r="I23" s="254">
        <f>IF(OR(F9="",E23=""),1,0)</f>
        <v>1</v>
      </c>
    </row>
    <row r="24" spans="2:9" ht="29.1" customHeight="1" thickBot="1" x14ac:dyDescent="0.25">
      <c r="B24" s="204">
        <f>B10</f>
        <v>1</v>
      </c>
      <c r="C24" s="207" t="str">
        <f>'Unos podataka'!G15</f>
        <v># 2</v>
      </c>
      <c r="D24" s="372">
        <f>IF(B10&lt;&gt;"",'Unos podataka'!H15,"")</f>
        <v>0</v>
      </c>
      <c r="E24" s="788"/>
      <c r="F24" s="789"/>
      <c r="G24" s="218" t="str">
        <f>IF(OR(G10="",E24=""),"",VLOOKUP(MATCH(E24,$P$3:$P$6,0),$Q$3:$R$6,2))</f>
        <v/>
      </c>
      <c r="H24" s="220" t="str">
        <f>G10</f>
        <v/>
      </c>
      <c r="I24" s="254">
        <f t="shared" ref="I24:I27" si="0">IF(OR(F10="",E24=""),1,0)</f>
        <v>1</v>
      </c>
    </row>
    <row r="25" spans="2:9" ht="29.1" customHeight="1" thickBot="1" x14ac:dyDescent="0.25">
      <c r="B25" s="204" t="str">
        <f>B11</f>
        <v/>
      </c>
      <c r="C25" s="207" t="str">
        <f>'Unos podataka'!G16</f>
        <v/>
      </c>
      <c r="D25" s="372" t="str">
        <f>IF(B11&lt;&gt;"",'Unos podataka'!H16,"")</f>
        <v/>
      </c>
      <c r="E25" s="788"/>
      <c r="F25" s="789"/>
      <c r="G25" s="218" t="str">
        <f>IF(OR(G11="",E25=""),"",VLOOKUP(MATCH(E25,$P$3:$P$6,0),$Q$3:$R$6,2))</f>
        <v/>
      </c>
      <c r="H25" s="220" t="str">
        <f>G11</f>
        <v/>
      </c>
      <c r="I25" s="254">
        <f t="shared" si="0"/>
        <v>1</v>
      </c>
    </row>
    <row r="26" spans="2:9" ht="27.95" customHeight="1" thickBot="1" x14ac:dyDescent="0.25">
      <c r="B26" s="204" t="str">
        <f>B12</f>
        <v/>
      </c>
      <c r="C26" s="207" t="str">
        <f>'Unos podataka'!G17</f>
        <v/>
      </c>
      <c r="D26" s="372" t="str">
        <f>IF(B12&lt;&gt;"",'Unos podataka'!H17,"")</f>
        <v/>
      </c>
      <c r="E26" s="788"/>
      <c r="F26" s="789"/>
      <c r="G26" s="218" t="str">
        <f>IF(OR(G12="",E26=""),"",VLOOKUP(MATCH(E26,$P$3:$P$6,0),$Q$3:$R$6,2))</f>
        <v/>
      </c>
      <c r="H26" s="220" t="str">
        <f>G12</f>
        <v/>
      </c>
      <c r="I26" s="254">
        <f t="shared" si="0"/>
        <v>1</v>
      </c>
    </row>
    <row r="27" spans="2:9" ht="29.1" customHeight="1" thickBot="1" x14ac:dyDescent="0.25">
      <c r="B27" s="204" t="str">
        <f>B13</f>
        <v/>
      </c>
      <c r="C27" s="222" t="str">
        <f>'Unos podataka'!G18</f>
        <v/>
      </c>
      <c r="D27" s="372" t="str">
        <f>IF(B13&lt;&gt;"",'Unos podataka'!H18,"")</f>
        <v/>
      </c>
      <c r="E27" s="788"/>
      <c r="F27" s="789"/>
      <c r="G27" s="218" t="str">
        <f>IF(OR(G13="",E27=""),"",VLOOKUP(MATCH(E27,$P$3:$P$6,0),$Q$3:$R$6,2))</f>
        <v/>
      </c>
      <c r="H27" s="221" t="str">
        <f>G13</f>
        <v/>
      </c>
      <c r="I27" s="254">
        <f t="shared" si="0"/>
        <v>1</v>
      </c>
    </row>
    <row r="28" spans="2:9" x14ac:dyDescent="0.2">
      <c r="B28" s="204"/>
      <c r="C28" s="46"/>
      <c r="D28" s="46"/>
      <c r="E28" s="46"/>
      <c r="F28" s="46"/>
      <c r="G28" s="46"/>
      <c r="H28" s="46"/>
      <c r="I28" s="21"/>
    </row>
    <row r="29" spans="2:9" ht="15.75" thickBot="1" x14ac:dyDescent="0.25">
      <c r="B29" s="211"/>
      <c r="C29" s="51"/>
      <c r="D29" s="51"/>
      <c r="E29" s="51"/>
      <c r="F29" s="51"/>
      <c r="G29" s="51"/>
      <c r="H29" s="51"/>
      <c r="I29" s="212"/>
    </row>
    <row r="30" spans="2:9" ht="15.75" thickBot="1" x14ac:dyDescent="0.25"/>
    <row r="31" spans="2:9" x14ac:dyDescent="0.2">
      <c r="B31" s="249"/>
      <c r="C31" s="250"/>
      <c r="D31" s="250"/>
      <c r="E31" s="250"/>
      <c r="F31" s="250"/>
      <c r="G31" s="250"/>
      <c r="H31" s="250"/>
      <c r="I31" s="251"/>
    </row>
    <row r="32" spans="2:9" ht="23.25" x14ac:dyDescent="0.35">
      <c r="B32" s="45"/>
      <c r="C32" s="796" t="str">
        <f>IF(C23="","",IF(SUMPRODUCT(B23:B27,I23:I27)&lt;&gt;0,"Ocjena kriterija nije završena!", "Sva vodna tijela su ocijenjena!"))</f>
        <v>Ocjena kriterija nije završena!</v>
      </c>
      <c r="D32" s="796"/>
      <c r="E32" s="796"/>
      <c r="F32" s="796"/>
      <c r="G32" s="796"/>
      <c r="H32" s="674">
        <f>IF(C23="",0,IF(SUMPRODUCT(B23:B27,I23:I27)&lt;&gt;0,0,1))</f>
        <v>0</v>
      </c>
      <c r="I32" s="49"/>
    </row>
    <row r="33" spans="2:9" ht="15.75" thickBot="1" x14ac:dyDescent="0.25">
      <c r="B33" s="211"/>
      <c r="C33" s="51"/>
      <c r="D33" s="51"/>
      <c r="E33" s="51"/>
      <c r="F33" s="51"/>
      <c r="G33" s="51"/>
      <c r="H33" s="51"/>
      <c r="I33" s="212"/>
    </row>
  </sheetData>
  <mergeCells count="11">
    <mergeCell ref="M2:N2"/>
    <mergeCell ref="E22:F22"/>
    <mergeCell ref="E23:F23"/>
    <mergeCell ref="E24:F24"/>
    <mergeCell ref="E25:F25"/>
    <mergeCell ref="H16:H17"/>
    <mergeCell ref="E26:F26"/>
    <mergeCell ref="C16:G17"/>
    <mergeCell ref="E27:F27"/>
    <mergeCell ref="C14:D14"/>
    <mergeCell ref="C32:G32"/>
  </mergeCells>
  <conditionalFormatting sqref="C23:C27">
    <cfRule type="expression" dxfId="207" priority="58">
      <formula>$C23="n.a."</formula>
    </cfRule>
  </conditionalFormatting>
  <conditionalFormatting sqref="G23:G27">
    <cfRule type="expression" dxfId="206" priority="39">
      <formula>B23&lt;&gt;1</formula>
    </cfRule>
  </conditionalFormatting>
  <conditionalFormatting sqref="C32">
    <cfRule type="expression" dxfId="205" priority="37">
      <formula>SUMPRODUCT($B$23:$B$27,$I$23:$I$27)=0</formula>
    </cfRule>
  </conditionalFormatting>
  <conditionalFormatting sqref="C14 E14">
    <cfRule type="expression" dxfId="204" priority="36">
      <formula>#REF!="n.a."</formula>
    </cfRule>
  </conditionalFormatting>
  <conditionalFormatting sqref="D9:E9 E10:E12 D10:D13">
    <cfRule type="expression" dxfId="203" priority="35">
      <formula>$C9="n.a."</formula>
    </cfRule>
  </conditionalFormatting>
  <conditionalFormatting sqref="G9:G13">
    <cfRule type="expression" dxfId="202" priority="27">
      <formula>$C9="n.a."</formula>
    </cfRule>
  </conditionalFormatting>
  <conditionalFormatting sqref="C9:C12">
    <cfRule type="expression" dxfId="201" priority="26">
      <formula>$C9="n.a."</formula>
    </cfRule>
  </conditionalFormatting>
  <conditionalFormatting sqref="E13">
    <cfRule type="expression" dxfId="200" priority="25">
      <formula>$C13="n.a."</formula>
    </cfRule>
  </conditionalFormatting>
  <conditionalFormatting sqref="C13">
    <cfRule type="expression" dxfId="199" priority="23">
      <formula>$C13="n.a."</formula>
    </cfRule>
  </conditionalFormatting>
  <conditionalFormatting sqref="E23">
    <cfRule type="expression" dxfId="198" priority="92">
      <formula>B23&lt;&gt;1</formula>
    </cfRule>
  </conditionalFormatting>
  <conditionalFormatting sqref="F9">
    <cfRule type="expression" dxfId="197" priority="22">
      <formula>B9=1</formula>
    </cfRule>
  </conditionalFormatting>
  <conditionalFormatting sqref="C16">
    <cfRule type="expression" dxfId="196" priority="17">
      <formula>SUMPRODUCT($B$9:$B$13,$H$9:$H$13)=0</formula>
    </cfRule>
  </conditionalFormatting>
  <conditionalFormatting sqref="E24">
    <cfRule type="expression" dxfId="195" priority="8">
      <formula>B24&lt;&gt;1</formula>
    </cfRule>
  </conditionalFormatting>
  <conditionalFormatting sqref="E25">
    <cfRule type="expression" dxfId="194" priority="7">
      <formula>B25&lt;&gt;1</formula>
    </cfRule>
  </conditionalFormatting>
  <conditionalFormatting sqref="E26">
    <cfRule type="expression" dxfId="193" priority="6">
      <formula>B26&lt;&gt;1</formula>
    </cfRule>
  </conditionalFormatting>
  <conditionalFormatting sqref="E27">
    <cfRule type="expression" dxfId="192" priority="5">
      <formula>B27&lt;&gt;1</formula>
    </cfRule>
  </conditionalFormatting>
  <conditionalFormatting sqref="F10">
    <cfRule type="expression" dxfId="191" priority="4">
      <formula>B10=1</formula>
    </cfRule>
  </conditionalFormatting>
  <conditionalFormatting sqref="F11">
    <cfRule type="expression" dxfId="190" priority="3">
      <formula>B11=1</formula>
    </cfRule>
  </conditionalFormatting>
  <conditionalFormatting sqref="F12">
    <cfRule type="expression" dxfId="189" priority="2">
      <formula>B12=1</formula>
    </cfRule>
  </conditionalFormatting>
  <conditionalFormatting sqref="F13">
    <cfRule type="expression" dxfId="188" priority="1">
      <formula>B13=1</formula>
    </cfRule>
  </conditionalFormatting>
  <dataValidations count="4">
    <dataValidation type="list" allowBlank="1" showInputMessage="1" showErrorMessage="1" error="Wrong input!" prompt="Please select hydromorphological status" sqref="F11:F13">
      <formula1>$L$3:$L$5</formula1>
    </dataValidation>
    <dataValidation type="list" allowBlank="1" showInputMessage="1" showErrorMessage="1" error="Wrong input!" prompt="Please select hydromorphological status of affected river stretch" sqref="E25:F27">
      <formula1>$P$3:$P$7</formula1>
    </dataValidation>
    <dataValidation type="list" allowBlank="1" showInputMessage="1" showErrorMessage="1" error="Wrong input!" prompt="Izaberite hidromorfološki status" sqref="F9 F10">
      <formula1>$L$3:$L$5</formula1>
    </dataValidation>
    <dataValidation type="list" allowBlank="1" showInputMessage="1" showErrorMessage="1" error="Wrong input!" prompt="Izaberite hidromorfološki status vodnog tijela koje je pod uticajem" sqref="E23:F23 E24:F24">
      <formula1>$P$3:$P$7</formula1>
    </dataValidation>
  </dataValidation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showGridLines="0" zoomScaleNormal="100" workbookViewId="0">
      <selection activeCell="K11" sqref="K11"/>
    </sheetView>
  </sheetViews>
  <sheetFormatPr defaultColWidth="10.875" defaultRowHeight="15" outlineLevelCol="1" x14ac:dyDescent="0.2"/>
  <cols>
    <col min="1" max="1" width="2.875" style="80" customWidth="1"/>
    <col min="2" max="2" width="4.125" style="80" customWidth="1"/>
    <col min="3" max="3" width="9" style="80" customWidth="1"/>
    <col min="4" max="4" width="10.875" style="80"/>
    <col min="5" max="5" width="12.375" style="80" customWidth="1"/>
    <col min="6" max="6" width="25.125" style="80" customWidth="1"/>
    <col min="7" max="7" width="17.5" style="80" customWidth="1"/>
    <col min="8" max="8" width="10.625" style="80" customWidth="1"/>
    <col min="9" max="9" width="4.125" style="80" customWidth="1"/>
    <col min="10" max="12" width="10.875" style="80"/>
    <col min="13" max="13" width="30.375" style="80" customWidth="1" outlineLevel="1"/>
    <col min="14" max="14" width="10.875" style="80" outlineLevel="1"/>
    <col min="15" max="15" width="21.875" style="80" customWidth="1" outlineLevel="1"/>
    <col min="16" max="16384" width="10.875" style="80"/>
  </cols>
  <sheetData>
    <row r="1" spans="2:15" s="1" customFormat="1" ht="17.100000000000001" customHeight="1" thickBot="1" x14ac:dyDescent="0.25">
      <c r="C1" s="24"/>
      <c r="D1" s="24"/>
      <c r="E1" s="24"/>
      <c r="G1" s="25"/>
      <c r="H1" s="25"/>
    </row>
    <row r="2" spans="2:15" s="1" customFormat="1" ht="14.1" customHeight="1" thickBot="1" x14ac:dyDescent="0.25">
      <c r="B2" s="189"/>
      <c r="C2" s="190"/>
      <c r="D2" s="190"/>
      <c r="E2" s="190"/>
      <c r="F2" s="191"/>
      <c r="G2" s="191"/>
      <c r="H2" s="191"/>
      <c r="I2" s="192"/>
      <c r="K2" s="25"/>
      <c r="M2" s="189" t="s">
        <v>335</v>
      </c>
      <c r="N2" s="191"/>
      <c r="O2" s="192"/>
    </row>
    <row r="3" spans="2:15" s="1" customFormat="1" ht="17.100000000000001" customHeight="1" x14ac:dyDescent="0.2">
      <c r="B3" s="47"/>
      <c r="C3" s="193" t="s">
        <v>333</v>
      </c>
      <c r="D3" s="193"/>
      <c r="E3" s="193"/>
      <c r="F3" s="193"/>
      <c r="G3" s="193"/>
      <c r="H3" s="193"/>
      <c r="I3" s="194"/>
      <c r="K3" s="25"/>
      <c r="M3" s="225" t="s">
        <v>119</v>
      </c>
      <c r="N3" s="226" t="s">
        <v>35</v>
      </c>
      <c r="O3" s="227" t="s">
        <v>327</v>
      </c>
    </row>
    <row r="4" spans="2:15" s="1" customFormat="1" ht="17.100000000000001" customHeight="1" thickBot="1" x14ac:dyDescent="0.25">
      <c r="B4" s="195"/>
      <c r="C4" s="196"/>
      <c r="D4" s="196"/>
      <c r="E4" s="196"/>
      <c r="F4" s="196"/>
      <c r="G4" s="196"/>
      <c r="H4" s="196"/>
      <c r="I4" s="197"/>
      <c r="K4" s="25"/>
      <c r="M4" s="228" t="s">
        <v>120</v>
      </c>
      <c r="N4" s="224" t="s">
        <v>35</v>
      </c>
      <c r="O4" s="229" t="s">
        <v>329</v>
      </c>
    </row>
    <row r="5" spans="2:15" s="1" customFormat="1" ht="14.1" customHeight="1" thickBot="1" x14ac:dyDescent="0.25">
      <c r="M5" s="228"/>
      <c r="N5" s="224"/>
      <c r="O5" s="229"/>
    </row>
    <row r="6" spans="2:15" s="1" customFormat="1" ht="13.5" thickBot="1" x14ac:dyDescent="0.25">
      <c r="B6" s="189"/>
      <c r="C6" s="191"/>
      <c r="D6" s="191"/>
      <c r="E6" s="191"/>
      <c r="F6" s="11"/>
      <c r="G6" s="11"/>
      <c r="H6" s="11"/>
      <c r="I6" s="20"/>
      <c r="M6" s="230"/>
      <c r="N6" s="231"/>
      <c r="O6" s="232"/>
    </row>
    <row r="7" spans="2:15" s="186" customFormat="1" ht="35.1" customHeight="1" thickBot="1" x14ac:dyDescent="0.25">
      <c r="B7" s="201"/>
      <c r="C7" s="216" t="s">
        <v>330</v>
      </c>
      <c r="D7" s="803" t="s">
        <v>110</v>
      </c>
      <c r="E7" s="804"/>
      <c r="F7" s="216" t="s">
        <v>334</v>
      </c>
      <c r="G7" s="217" t="s">
        <v>116</v>
      </c>
      <c r="H7" s="216" t="s">
        <v>184</v>
      </c>
      <c r="I7" s="21"/>
    </row>
    <row r="8" spans="2:15" ht="33.950000000000003" customHeight="1" thickBot="1" x14ac:dyDescent="0.25">
      <c r="B8" s="204">
        <f>'Unos podataka'!F14</f>
        <v>1</v>
      </c>
      <c r="C8" s="207" t="str">
        <f>'Unos podataka'!G14</f>
        <v># 1</v>
      </c>
      <c r="D8" s="805">
        <f>IF(B8&lt;&gt;"",'Unos podataka'!H14,"")</f>
        <v>0</v>
      </c>
      <c r="E8" s="802"/>
      <c r="F8" s="641"/>
      <c r="G8" s="218" t="str">
        <f>IF(F8="da",$O$3,IF(F8="ne",$O$4,""))</f>
        <v/>
      </c>
      <c r="H8" s="233" t="str">
        <f>IF(F8="yes",$N$3,IF(F8="no",$N$4,""))</f>
        <v/>
      </c>
      <c r="I8" s="254">
        <f>IF(F8="",1,0)</f>
        <v>1</v>
      </c>
    </row>
    <row r="9" spans="2:15" ht="33.950000000000003" customHeight="1" thickBot="1" x14ac:dyDescent="0.25">
      <c r="B9" s="204">
        <f>'Unos podataka'!F15</f>
        <v>1</v>
      </c>
      <c r="C9" s="207" t="str">
        <f>'Unos podataka'!G15</f>
        <v># 2</v>
      </c>
      <c r="D9" s="805">
        <f>IF(B9&lt;&gt;"",'Unos podataka'!H15,"")</f>
        <v>0</v>
      </c>
      <c r="E9" s="802"/>
      <c r="F9" s="641"/>
      <c r="G9" s="218" t="str">
        <f>IF(F9="da",$O$3,IF(F9="ne",$O$4,""))</f>
        <v/>
      </c>
      <c r="H9" s="233" t="str">
        <f>IF(F9="yes",$N$3,IF(F9="no",$N$4,""))</f>
        <v/>
      </c>
      <c r="I9" s="254">
        <f>IF(F9="",1,0)</f>
        <v>1</v>
      </c>
    </row>
    <row r="10" spans="2:15" ht="33.950000000000003" customHeight="1" thickBot="1" x14ac:dyDescent="0.25">
      <c r="B10" s="204" t="str">
        <f>'Unos podataka'!F16</f>
        <v/>
      </c>
      <c r="C10" s="207" t="str">
        <f>'Unos podataka'!G16</f>
        <v/>
      </c>
      <c r="D10" s="805" t="str">
        <f>IF(B10&lt;&gt;"",'Unos podataka'!H16,"")</f>
        <v/>
      </c>
      <c r="E10" s="802"/>
      <c r="F10" s="641"/>
      <c r="G10" s="218" t="str">
        <f>IF(F10="yes",$O$3,IF(F10="no",$O$4,""))</f>
        <v/>
      </c>
      <c r="H10" s="233" t="str">
        <f>IF(F10="yes",$N$3,IF(F10="no",$N$4,""))</f>
        <v/>
      </c>
      <c r="I10" s="254">
        <f>IF(F10="",1,0)</f>
        <v>1</v>
      </c>
    </row>
    <row r="11" spans="2:15" ht="33.950000000000003" customHeight="1" thickBot="1" x14ac:dyDescent="0.25">
      <c r="B11" s="204" t="str">
        <f>'Unos podataka'!F17</f>
        <v/>
      </c>
      <c r="C11" s="368" t="str">
        <f>'Unos podataka'!G17</f>
        <v/>
      </c>
      <c r="D11" s="805" t="str">
        <f>IF(B11&lt;&gt;"",'Unos podataka'!H17,"")</f>
        <v/>
      </c>
      <c r="E11" s="802"/>
      <c r="F11" s="641"/>
      <c r="G11" s="218" t="str">
        <f>IF(F11="yes",$O$3,IF(F11="no",$O$4,""))</f>
        <v/>
      </c>
      <c r="H11" s="233" t="str">
        <f>IF(F11="yes",$N$3,IF(F11="no",$N$4,""))</f>
        <v/>
      </c>
      <c r="I11" s="254">
        <f>IF(F11="",1,0)</f>
        <v>1</v>
      </c>
    </row>
    <row r="12" spans="2:15" ht="33.950000000000003" customHeight="1" thickBot="1" x14ac:dyDescent="0.25">
      <c r="B12" s="204" t="str">
        <f>'Unos podataka'!F18</f>
        <v/>
      </c>
      <c r="C12" s="629" t="str">
        <f>'Unos podataka'!G18</f>
        <v/>
      </c>
      <c r="D12" s="802" t="str">
        <f>IF(B12&lt;&gt;"",'Unos podataka'!H18,"")</f>
        <v/>
      </c>
      <c r="E12" s="802"/>
      <c r="F12" s="641"/>
      <c r="G12" s="218" t="str">
        <f>IF(F12="yes",$O$3,IF(F12="no",$O$4,""))</f>
        <v/>
      </c>
      <c r="H12" s="234" t="str">
        <f>IF(F12="yes",$N$3,IF(F12="no",$N$4,""))</f>
        <v/>
      </c>
      <c r="I12" s="254">
        <f>IF(F12="",1,0)</f>
        <v>1</v>
      </c>
    </row>
    <row r="13" spans="2:15" ht="15.75" thickBot="1" x14ac:dyDescent="0.25">
      <c r="B13" s="211"/>
      <c r="C13" s="51"/>
      <c r="D13" s="51"/>
      <c r="E13" s="51"/>
      <c r="F13" s="51"/>
      <c r="G13" s="51"/>
      <c r="H13" s="51"/>
      <c r="I13" s="212"/>
    </row>
    <row r="14" spans="2:15" ht="15.75" thickBot="1" x14ac:dyDescent="0.25"/>
    <row r="15" spans="2:15" x14ac:dyDescent="0.2">
      <c r="B15" s="249"/>
      <c r="C15" s="250"/>
      <c r="D15" s="250"/>
      <c r="E15" s="250"/>
      <c r="F15" s="250"/>
      <c r="G15" s="250"/>
      <c r="H15" s="250"/>
      <c r="I15" s="251"/>
    </row>
    <row r="16" spans="2:15" ht="23.25" x14ac:dyDescent="0.35">
      <c r="B16" s="45"/>
      <c r="C16" s="796" t="str">
        <f>IF(C8="","",IF(SUMPRODUCT(B8:B12,I8:I12)&lt;&gt;0,"Ocjena kriterija nije završena!", "Sva vodna tijela su ocijenjena!"))</f>
        <v>Ocjena kriterija nije završena!</v>
      </c>
      <c r="D16" s="796"/>
      <c r="E16" s="796"/>
      <c r="F16" s="796"/>
      <c r="G16" s="796"/>
      <c r="H16" s="674">
        <f>IF(C8="",0,IF(SUMPRODUCT(B8:B12,I8:I12)&lt;&gt;0,0,1))</f>
        <v>0</v>
      </c>
      <c r="I16" s="49"/>
    </row>
    <row r="17" spans="2:9" ht="15.75" thickBot="1" x14ac:dyDescent="0.25">
      <c r="B17" s="211"/>
      <c r="C17" s="51"/>
      <c r="D17" s="51"/>
      <c r="E17" s="51"/>
      <c r="F17" s="51"/>
      <c r="G17" s="51"/>
      <c r="H17" s="51"/>
      <c r="I17" s="212"/>
    </row>
  </sheetData>
  <mergeCells count="7">
    <mergeCell ref="D12:E12"/>
    <mergeCell ref="C16:G16"/>
    <mergeCell ref="D7:E7"/>
    <mergeCell ref="D8:E8"/>
    <mergeCell ref="D9:E9"/>
    <mergeCell ref="D10:E10"/>
    <mergeCell ref="D11:E11"/>
  </mergeCells>
  <conditionalFormatting sqref="C8:C12">
    <cfRule type="expression" dxfId="187" priority="10">
      <formula>$C8="n.a."</formula>
    </cfRule>
  </conditionalFormatting>
  <conditionalFormatting sqref="F8:F12">
    <cfRule type="expression" dxfId="186" priority="8">
      <formula>B8&lt;&gt;1</formula>
    </cfRule>
  </conditionalFormatting>
  <conditionalFormatting sqref="G8:G12">
    <cfRule type="expression" dxfId="185" priority="7">
      <formula>B8&lt;&gt;1</formula>
    </cfRule>
  </conditionalFormatting>
  <conditionalFormatting sqref="H10">
    <cfRule type="expression" dxfId="184" priority="6">
      <formula>B10=1</formula>
    </cfRule>
  </conditionalFormatting>
  <conditionalFormatting sqref="H9">
    <cfRule type="expression" dxfId="183" priority="5">
      <formula>B9=1</formula>
    </cfRule>
  </conditionalFormatting>
  <conditionalFormatting sqref="H8">
    <cfRule type="expression" dxfId="182" priority="4">
      <formula>B8=1</formula>
    </cfRule>
  </conditionalFormatting>
  <conditionalFormatting sqref="H11">
    <cfRule type="expression" dxfId="181" priority="3">
      <formula>B11=1</formula>
    </cfRule>
  </conditionalFormatting>
  <conditionalFormatting sqref="H12">
    <cfRule type="expression" dxfId="180" priority="2">
      <formula>B12=1</formula>
    </cfRule>
  </conditionalFormatting>
  <conditionalFormatting sqref="C16">
    <cfRule type="expression" dxfId="179" priority="1">
      <formula>SUMPRODUCT($B$8:$B$12,$I$8:$I$12)=0</formula>
    </cfRule>
  </conditionalFormatting>
  <dataValidations count="2">
    <dataValidation type="list" allowBlank="1" showInputMessage="1" showErrorMessage="1" error="Wrong input!" prompt="Please select if ecological status is high or not" sqref="F10:F12">
      <formula1>$M$3:$M$5</formula1>
    </dataValidation>
    <dataValidation type="list" allowBlank="1" showInputMessage="1" showErrorMessage="1" error="Wrong input!" prompt="Izaberite da li je ekološki status visok" sqref="F8 F9">
      <formula1>$M$3:$M$5</formula1>
    </dataValidation>
  </dataValidation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showGridLines="0" workbookViewId="0">
      <selection activeCell="M20" sqref="M20"/>
    </sheetView>
  </sheetViews>
  <sheetFormatPr defaultColWidth="10.875" defaultRowHeight="15" outlineLevelCol="1" x14ac:dyDescent="0.2"/>
  <cols>
    <col min="1" max="1" width="2.875" style="80" customWidth="1"/>
    <col min="2" max="2" width="4.125" style="80" customWidth="1"/>
    <col min="3" max="3" width="8.625" style="80" customWidth="1"/>
    <col min="4" max="4" width="10.875" style="80"/>
    <col min="5" max="5" width="12.375" style="80" customWidth="1"/>
    <col min="6" max="6" width="23" style="80" customWidth="1"/>
    <col min="7" max="7" width="17.5" style="80" customWidth="1"/>
    <col min="8" max="8" width="10.625" style="80" customWidth="1"/>
    <col min="9" max="9" width="4.125" style="80" customWidth="1"/>
    <col min="10" max="12" width="10.875" style="80"/>
    <col min="13" max="13" width="30.625" style="80" customWidth="1" outlineLevel="1"/>
    <col min="14" max="14" width="10.5" style="80" customWidth="1" outlineLevel="1"/>
    <col min="15" max="15" width="9.625" style="80" customWidth="1" outlineLevel="1"/>
    <col min="16" max="16" width="22" style="80" customWidth="1" outlineLevel="1"/>
    <col min="17" max="16384" width="10.875" style="80"/>
  </cols>
  <sheetData>
    <row r="1" spans="2:16" s="1" customFormat="1" ht="17.100000000000001" customHeight="1" thickBot="1" x14ac:dyDescent="0.25">
      <c r="C1" s="24"/>
      <c r="D1" s="24"/>
      <c r="E1" s="24"/>
      <c r="G1" s="25"/>
      <c r="H1" s="25"/>
    </row>
    <row r="2" spans="2:16" s="1" customFormat="1" ht="14.1" customHeight="1" thickBot="1" x14ac:dyDescent="0.25">
      <c r="B2" s="189"/>
      <c r="C2" s="190"/>
      <c r="D2" s="190"/>
      <c r="E2" s="190"/>
      <c r="F2" s="191"/>
      <c r="G2" s="191"/>
      <c r="H2" s="191"/>
      <c r="I2" s="192"/>
      <c r="K2" s="25"/>
      <c r="M2" s="189" t="s">
        <v>340</v>
      </c>
      <c r="N2" s="191"/>
      <c r="O2" s="191"/>
      <c r="P2" s="192"/>
    </row>
    <row r="3" spans="2:16" s="1" customFormat="1" ht="17.100000000000001" customHeight="1" x14ac:dyDescent="0.2">
      <c r="B3" s="47"/>
      <c r="C3" s="193" t="s">
        <v>336</v>
      </c>
      <c r="D3" s="193"/>
      <c r="E3" s="193"/>
      <c r="F3" s="193"/>
      <c r="G3" s="193"/>
      <c r="H3" s="193"/>
      <c r="I3" s="194"/>
      <c r="K3" s="25"/>
      <c r="M3" s="225" t="s">
        <v>341</v>
      </c>
      <c r="N3" s="226">
        <v>0</v>
      </c>
      <c r="O3" s="226">
        <v>3</v>
      </c>
      <c r="P3" s="227" t="s">
        <v>327</v>
      </c>
    </row>
    <row r="4" spans="2:16" s="1" customFormat="1" ht="17.100000000000001" customHeight="1" thickBot="1" x14ac:dyDescent="0.25">
      <c r="B4" s="195"/>
      <c r="C4" s="196"/>
      <c r="D4" s="196"/>
      <c r="E4" s="196"/>
      <c r="F4" s="196"/>
      <c r="G4" s="196"/>
      <c r="H4" s="196"/>
      <c r="I4" s="197"/>
      <c r="K4" s="25"/>
      <c r="M4" s="228" t="s">
        <v>342</v>
      </c>
      <c r="N4" s="224">
        <v>10</v>
      </c>
      <c r="O4" s="224">
        <v>2</v>
      </c>
      <c r="P4" s="229" t="s">
        <v>328</v>
      </c>
    </row>
    <row r="5" spans="2:16" s="1" customFormat="1" ht="14.1" customHeight="1" thickBot="1" x14ac:dyDescent="0.25">
      <c r="M5" s="228" t="s">
        <v>343</v>
      </c>
      <c r="N5" s="224">
        <v>30.000000001</v>
      </c>
      <c r="O5" s="224">
        <v>1</v>
      </c>
      <c r="P5" s="229" t="s">
        <v>329</v>
      </c>
    </row>
    <row r="6" spans="2:16" s="1" customFormat="1" ht="13.5" thickBot="1" x14ac:dyDescent="0.25">
      <c r="B6" s="189"/>
      <c r="C6" s="191"/>
      <c r="D6" s="191"/>
      <c r="E6" s="191"/>
      <c r="F6" s="11"/>
      <c r="G6" s="11"/>
      <c r="H6" s="11"/>
      <c r="I6" s="20"/>
      <c r="M6" s="230"/>
      <c r="N6" s="231"/>
      <c r="O6" s="231"/>
      <c r="P6" s="232"/>
    </row>
    <row r="7" spans="2:16" s="186" customFormat="1" ht="35.1" customHeight="1" thickBot="1" x14ac:dyDescent="0.25">
      <c r="B7" s="201"/>
      <c r="C7" s="216" t="s">
        <v>337</v>
      </c>
      <c r="D7" s="803" t="s">
        <v>338</v>
      </c>
      <c r="E7" s="804"/>
      <c r="F7" s="216" t="s">
        <v>339</v>
      </c>
      <c r="G7" s="217" t="s">
        <v>116</v>
      </c>
      <c r="H7" s="216" t="s">
        <v>184</v>
      </c>
      <c r="I7" s="21"/>
    </row>
    <row r="8" spans="2:16" ht="33.950000000000003" customHeight="1" thickBot="1" x14ac:dyDescent="0.25">
      <c r="B8" s="204">
        <f>'Unos podataka'!F14</f>
        <v>1</v>
      </c>
      <c r="C8" s="207" t="str">
        <f>'Unos podataka'!G14</f>
        <v># 1</v>
      </c>
      <c r="D8" s="805">
        <f>IF(B8&lt;&gt;"",'Unos podataka'!H14,"")</f>
        <v>0</v>
      </c>
      <c r="E8" s="802"/>
      <c r="F8" s="637"/>
      <c r="G8" s="218" t="str">
        <f>IF(F8&lt;&gt;"",VLOOKUP(F8,$N$3:$P$5,3),"")</f>
        <v/>
      </c>
      <c r="H8" s="233" t="str">
        <f>IF(F8&lt;&gt;"","***","")</f>
        <v/>
      </c>
      <c r="I8" s="254">
        <f>IF(F8="",1,0)</f>
        <v>1</v>
      </c>
    </row>
    <row r="9" spans="2:16" ht="33.950000000000003" customHeight="1" thickBot="1" x14ac:dyDescent="0.25">
      <c r="B9" s="204">
        <f>'Unos podataka'!F15</f>
        <v>1</v>
      </c>
      <c r="C9" s="207" t="str">
        <f>'Unos podataka'!G15</f>
        <v># 2</v>
      </c>
      <c r="D9" s="805">
        <f>IF(B9&lt;&gt;"",'Unos podataka'!H15,"")</f>
        <v>0</v>
      </c>
      <c r="E9" s="802"/>
      <c r="F9" s="637"/>
      <c r="G9" s="218" t="str">
        <f>IF(F9&lt;&gt;"",VLOOKUP(F9,$N$3:$P$5,3),"")</f>
        <v/>
      </c>
      <c r="H9" s="233" t="str">
        <f>IF(F9&lt;&gt;"","***","")</f>
        <v/>
      </c>
      <c r="I9" s="254">
        <f>IF(F9="",1,0)</f>
        <v>1</v>
      </c>
    </row>
    <row r="10" spans="2:16" ht="33.950000000000003" customHeight="1" thickBot="1" x14ac:dyDescent="0.25">
      <c r="B10" s="204" t="str">
        <f>'Unos podataka'!F16</f>
        <v/>
      </c>
      <c r="C10" s="207" t="str">
        <f>'Unos podataka'!G16</f>
        <v/>
      </c>
      <c r="D10" s="805" t="str">
        <f>IF(B10&lt;&gt;"",'Unos podataka'!H16,"")</f>
        <v/>
      </c>
      <c r="E10" s="802"/>
      <c r="F10" s="637"/>
      <c r="G10" s="218" t="str">
        <f>IF(F10&lt;&gt;"",VLOOKUP(F10,$N$3:$P$5,3),"")</f>
        <v/>
      </c>
      <c r="H10" s="233" t="str">
        <f t="shared" ref="H10:H12" si="0">IF(F10&lt;&gt;"","***","")</f>
        <v/>
      </c>
      <c r="I10" s="254">
        <f>IF(F10="",1,0)</f>
        <v>1</v>
      </c>
    </row>
    <row r="11" spans="2:16" ht="33.950000000000003" customHeight="1" thickBot="1" x14ac:dyDescent="0.25">
      <c r="B11" s="204" t="str">
        <f>'Unos podataka'!F17</f>
        <v/>
      </c>
      <c r="C11" s="368" t="str">
        <f>'Unos podataka'!G17</f>
        <v/>
      </c>
      <c r="D11" s="805" t="str">
        <f>IF(B11&lt;&gt;"",'Unos podataka'!H17,"")</f>
        <v/>
      </c>
      <c r="E11" s="802"/>
      <c r="F11" s="637"/>
      <c r="G11" s="218" t="str">
        <f>IF(F11&lt;&gt;"",VLOOKUP(F11,$N$3:$P$5,3),"")</f>
        <v/>
      </c>
      <c r="H11" s="233" t="str">
        <f t="shared" si="0"/>
        <v/>
      </c>
      <c r="I11" s="254">
        <f>IF(F11="",1,0)</f>
        <v>1</v>
      </c>
    </row>
    <row r="12" spans="2:16" ht="33.950000000000003" customHeight="1" thickBot="1" x14ac:dyDescent="0.25">
      <c r="B12" s="204" t="str">
        <f>'Unos podataka'!F18</f>
        <v/>
      </c>
      <c r="C12" s="629" t="str">
        <f>'Unos podataka'!G18</f>
        <v/>
      </c>
      <c r="D12" s="802" t="str">
        <f>IF(B12&lt;&gt;"",'Unos podataka'!H18,"")</f>
        <v/>
      </c>
      <c r="E12" s="802"/>
      <c r="F12" s="637"/>
      <c r="G12" s="630" t="str">
        <f>IF(F12&lt;&gt;"",VLOOKUP(F12,$N$3:$P$5,3),"")</f>
        <v/>
      </c>
      <c r="H12" s="631" t="str">
        <f t="shared" si="0"/>
        <v/>
      </c>
      <c r="I12" s="254">
        <f>IF(F12="",1,0)</f>
        <v>1</v>
      </c>
    </row>
    <row r="13" spans="2:16" ht="15.75" thickBot="1" x14ac:dyDescent="0.25">
      <c r="B13" s="211"/>
      <c r="C13" s="51"/>
      <c r="D13" s="51"/>
      <c r="E13" s="51"/>
      <c r="F13" s="51"/>
      <c r="G13" s="51"/>
      <c r="H13" s="51"/>
      <c r="I13" s="212"/>
    </row>
    <row r="14" spans="2:16" ht="15.75" thickBot="1" x14ac:dyDescent="0.25"/>
    <row r="15" spans="2:16" x14ac:dyDescent="0.2">
      <c r="B15" s="249"/>
      <c r="C15" s="250"/>
      <c r="D15" s="250"/>
      <c r="E15" s="250"/>
      <c r="F15" s="250"/>
      <c r="G15" s="250"/>
      <c r="H15" s="250"/>
      <c r="I15" s="251"/>
    </row>
    <row r="16" spans="2:16" ht="23.25" x14ac:dyDescent="0.35">
      <c r="B16" s="45"/>
      <c r="C16" s="796" t="str">
        <f>IF(C8="","",IF(SUMPRODUCT(B8:B12,I8:I12)&lt;&gt;0,"Ocjena kriterija nije završena!", "Sva vodna tijela su ocijenjena!"))</f>
        <v>Ocjena kriterija nije završena!</v>
      </c>
      <c r="D16" s="796"/>
      <c r="E16" s="796"/>
      <c r="F16" s="796"/>
      <c r="G16" s="796"/>
      <c r="H16" s="674">
        <f>IF(C8="",0,IF(SUMPRODUCT(B8:B12,I8:I12)&lt;&gt;0,0,1))</f>
        <v>0</v>
      </c>
      <c r="I16" s="49"/>
    </row>
    <row r="17" spans="2:9" ht="15.75" thickBot="1" x14ac:dyDescent="0.25">
      <c r="B17" s="211"/>
      <c r="C17" s="51"/>
      <c r="D17" s="51"/>
      <c r="E17" s="51"/>
      <c r="F17" s="51"/>
      <c r="G17" s="51"/>
      <c r="H17" s="51"/>
      <c r="I17" s="212"/>
    </row>
  </sheetData>
  <mergeCells count="7">
    <mergeCell ref="D12:E12"/>
    <mergeCell ref="C16:G16"/>
    <mergeCell ref="D7:E7"/>
    <mergeCell ref="D8:E8"/>
    <mergeCell ref="D9:E9"/>
    <mergeCell ref="D10:E10"/>
    <mergeCell ref="D11:E11"/>
  </mergeCells>
  <conditionalFormatting sqref="C8:C12">
    <cfRule type="expression" dxfId="178" priority="14">
      <formula>$C8="n.a."</formula>
    </cfRule>
  </conditionalFormatting>
  <conditionalFormatting sqref="F8:F12">
    <cfRule type="expression" dxfId="177" priority="12">
      <formula>B8&lt;&gt;1</formula>
    </cfRule>
  </conditionalFormatting>
  <conditionalFormatting sqref="G8:G12">
    <cfRule type="expression" dxfId="176" priority="11">
      <formula>B8&lt;&gt;1</formula>
    </cfRule>
  </conditionalFormatting>
  <conditionalFormatting sqref="H9:H12">
    <cfRule type="expression" dxfId="175" priority="5">
      <formula>B9=1</formula>
    </cfRule>
  </conditionalFormatting>
  <conditionalFormatting sqref="H8">
    <cfRule type="expression" dxfId="174" priority="8">
      <formula>B8=1</formula>
    </cfRule>
  </conditionalFormatting>
  <conditionalFormatting sqref="C16">
    <cfRule type="expression" dxfId="173" priority="1">
      <formula>SUMPRODUCT($B$8:$B$12,$I$8:$I$12)=0</formula>
    </cfRule>
  </conditionalFormatting>
  <dataValidations count="2">
    <dataValidation allowBlank="1" showInputMessage="1" showErrorMessage="1" prompt="Please enter size of catchment area in km2" sqref="F10:F12"/>
    <dataValidation allowBlank="1" showInputMessage="1" showErrorMessage="1" prompt="Unesite površinu sliva u km2" sqref="F8 F9"/>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5" tint="0.39997558519241921"/>
  </sheetPr>
  <dimension ref="B1:N41"/>
  <sheetViews>
    <sheetView showGridLines="0" zoomScaleNormal="100" workbookViewId="0">
      <selection activeCell="L7" sqref="L7"/>
    </sheetView>
  </sheetViews>
  <sheetFormatPr defaultColWidth="10.875" defaultRowHeight="15" outlineLevelCol="1" x14ac:dyDescent="0.2"/>
  <cols>
    <col min="1" max="2" width="3.875" style="5" customWidth="1"/>
    <col min="3" max="3" width="15.875" style="5" customWidth="1"/>
    <col min="4" max="4" width="1.875" style="5" customWidth="1"/>
    <col min="5" max="5" width="18.5" style="5" bestFit="1" customWidth="1"/>
    <col min="6" max="6" width="1.875" style="5" customWidth="1"/>
    <col min="7" max="7" width="5.125" style="5" customWidth="1"/>
    <col min="8" max="8" width="27.125" style="5" customWidth="1"/>
    <col min="9" max="9" width="17" style="5" customWidth="1"/>
    <col min="10" max="10" width="3.875" style="5" customWidth="1"/>
    <col min="11" max="13" width="10.875" style="5"/>
    <col min="14" max="14" width="10.875" style="5" outlineLevel="1"/>
    <col min="15" max="16384" width="10.875" style="5"/>
  </cols>
  <sheetData>
    <row r="1" spans="2:14" ht="15.75" thickBot="1" x14ac:dyDescent="0.25"/>
    <row r="2" spans="2:14" ht="17.100000000000001" customHeight="1" x14ac:dyDescent="0.2">
      <c r="B2" s="6"/>
      <c r="C2" s="10"/>
      <c r="D2" s="11"/>
      <c r="E2" s="12"/>
      <c r="F2" s="11"/>
      <c r="G2" s="10"/>
      <c r="H2" s="11"/>
      <c r="I2" s="11"/>
      <c r="J2" s="20"/>
      <c r="N2" s="80" t="s">
        <v>8</v>
      </c>
    </row>
    <row r="3" spans="2:14" ht="18" x14ac:dyDescent="0.2">
      <c r="B3" s="7"/>
      <c r="C3" s="717" t="s">
        <v>98</v>
      </c>
      <c r="D3" s="717"/>
      <c r="E3" s="717"/>
      <c r="F3" s="717"/>
      <c r="G3" s="717"/>
      <c r="H3" s="717"/>
      <c r="I3" s="717"/>
      <c r="J3" s="718"/>
      <c r="N3" s="80" t="s">
        <v>119</v>
      </c>
    </row>
    <row r="4" spans="2:14" ht="15.75" thickBot="1" x14ac:dyDescent="0.25">
      <c r="B4" s="7"/>
      <c r="C4" s="37"/>
      <c r="D4" s="38"/>
      <c r="E4" s="39"/>
      <c r="F4" s="38"/>
      <c r="G4" s="37"/>
      <c r="H4" s="38"/>
      <c r="I4" s="38"/>
      <c r="J4" s="21"/>
      <c r="N4" s="80" t="s">
        <v>120</v>
      </c>
    </row>
    <row r="5" spans="2:14" ht="29.1" customHeight="1" thickBot="1" x14ac:dyDescent="0.25">
      <c r="B5" s="8"/>
      <c r="C5" s="375" t="s">
        <v>99</v>
      </c>
      <c r="D5" s="38"/>
      <c r="E5" s="714" t="s">
        <v>544</v>
      </c>
      <c r="F5" s="715"/>
      <c r="G5" s="715"/>
      <c r="H5" s="715"/>
      <c r="I5" s="716"/>
      <c r="J5" s="22"/>
      <c r="N5" s="5" t="s">
        <v>118</v>
      </c>
    </row>
    <row r="6" spans="2:14" ht="9.9499999999999993" customHeight="1" thickBot="1" x14ac:dyDescent="0.25">
      <c r="B6" s="7"/>
      <c r="C6" s="37"/>
      <c r="D6" s="38"/>
      <c r="E6" s="39"/>
      <c r="F6" s="38"/>
      <c r="G6" s="37"/>
      <c r="H6" s="38"/>
      <c r="I6" s="38"/>
      <c r="J6" s="21"/>
    </row>
    <row r="7" spans="2:14" ht="26.25" thickBot="1" x14ac:dyDescent="0.25">
      <c r="B7" s="7"/>
      <c r="C7" s="363" t="s">
        <v>100</v>
      </c>
      <c r="D7" s="108"/>
      <c r="E7" s="619"/>
      <c r="F7" s="108"/>
      <c r="G7" s="37"/>
      <c r="H7" s="38"/>
      <c r="I7" s="38"/>
      <c r="J7" s="21"/>
    </row>
    <row r="8" spans="2:14" ht="9.9499999999999993" customHeight="1" thickBot="1" x14ac:dyDescent="0.25">
      <c r="B8" s="7"/>
      <c r="C8" s="37"/>
      <c r="D8" s="38"/>
      <c r="E8" s="39"/>
      <c r="F8" s="38"/>
      <c r="G8" s="37"/>
      <c r="H8" s="38"/>
      <c r="I8" s="38"/>
      <c r="J8" s="21"/>
    </row>
    <row r="9" spans="2:14" ht="51.75" thickBot="1" x14ac:dyDescent="0.25">
      <c r="B9" s="7"/>
      <c r="C9" s="363" t="s">
        <v>101</v>
      </c>
      <c r="D9" s="46"/>
      <c r="E9" s="620"/>
      <c r="F9" s="46"/>
      <c r="G9" s="37"/>
      <c r="H9" s="38"/>
      <c r="I9" s="38"/>
      <c r="J9" s="21"/>
    </row>
    <row r="10" spans="2:14" ht="9.9499999999999993" customHeight="1" thickBot="1" x14ac:dyDescent="0.25">
      <c r="B10" s="7"/>
      <c r="C10" s="37"/>
      <c r="D10" s="38"/>
      <c r="E10" s="39"/>
      <c r="F10" s="38"/>
      <c r="G10" s="37"/>
      <c r="H10" s="38"/>
      <c r="I10" s="38"/>
      <c r="J10" s="21"/>
    </row>
    <row r="11" spans="2:14" ht="26.25" thickBot="1" x14ac:dyDescent="0.25">
      <c r="B11" s="7"/>
      <c r="C11" s="363" t="s">
        <v>102</v>
      </c>
      <c r="D11" s="108"/>
      <c r="E11" s="621"/>
      <c r="F11" s="108"/>
      <c r="G11" s="37"/>
      <c r="H11" s="38"/>
      <c r="I11" s="38"/>
      <c r="J11" s="21"/>
    </row>
    <row r="12" spans="2:14" s="80" customFormat="1" ht="9.9499999999999993" customHeight="1" thickBot="1" x14ac:dyDescent="0.25">
      <c r="B12" s="7"/>
      <c r="C12" s="37"/>
      <c r="D12" s="38"/>
      <c r="E12" s="39"/>
      <c r="F12" s="38"/>
      <c r="G12" s="37"/>
      <c r="H12" s="38"/>
      <c r="I12" s="38"/>
      <c r="J12" s="21"/>
    </row>
    <row r="13" spans="2:14" s="80" customFormat="1" ht="15.95" customHeight="1" thickBot="1" x14ac:dyDescent="0.25">
      <c r="B13" s="7"/>
      <c r="C13" s="725" t="s">
        <v>103</v>
      </c>
      <c r="D13" s="37"/>
      <c r="E13" s="722">
        <v>2</v>
      </c>
      <c r="F13" s="37"/>
      <c r="G13" s="205" t="s">
        <v>109</v>
      </c>
      <c r="H13" s="209" t="s">
        <v>110</v>
      </c>
      <c r="I13" s="206" t="s">
        <v>111</v>
      </c>
      <c r="J13" s="21"/>
    </row>
    <row r="14" spans="2:14" s="80" customFormat="1" ht="15.95" customHeight="1" thickBot="1" x14ac:dyDescent="0.25">
      <c r="B14" s="7"/>
      <c r="C14" s="726"/>
      <c r="D14" s="38"/>
      <c r="E14" s="723"/>
      <c r="F14" s="364">
        <f>IF($E$13&gt;=1,1,"")</f>
        <v>1</v>
      </c>
      <c r="G14" s="207" t="str">
        <f>IF($E$13&gt;=1,"# 1","")</f>
        <v># 1</v>
      </c>
      <c r="H14" s="632"/>
      <c r="I14" s="618"/>
      <c r="J14" s="21"/>
    </row>
    <row r="15" spans="2:14" s="80" customFormat="1" ht="15.75" thickBot="1" x14ac:dyDescent="0.25">
      <c r="B15" s="7"/>
      <c r="C15" s="726"/>
      <c r="D15" s="38"/>
      <c r="E15" s="723"/>
      <c r="F15" s="364">
        <f>IF($E$13&gt;=2,1,"")</f>
        <v>1</v>
      </c>
      <c r="G15" s="207" t="str">
        <f>IF($E$13&gt;=2,"# 2","")</f>
        <v># 2</v>
      </c>
      <c r="H15" s="632"/>
      <c r="I15" s="618"/>
      <c r="J15" s="21"/>
    </row>
    <row r="16" spans="2:14" s="80" customFormat="1" ht="15.75" thickBot="1" x14ac:dyDescent="0.25">
      <c r="B16" s="7"/>
      <c r="C16" s="726"/>
      <c r="D16" s="38"/>
      <c r="E16" s="723"/>
      <c r="F16" s="364" t="str">
        <f>IF($E$13&gt;=3,1,"")</f>
        <v/>
      </c>
      <c r="G16" s="207" t="str">
        <f>IF($E$13&gt;=3,"# 3","")</f>
        <v/>
      </c>
      <c r="H16" s="617"/>
      <c r="I16" s="618"/>
      <c r="J16" s="21"/>
    </row>
    <row r="17" spans="2:10" s="80" customFormat="1" ht="15.75" thickBot="1" x14ac:dyDescent="0.25">
      <c r="B17" s="7"/>
      <c r="C17" s="726"/>
      <c r="D17" s="37"/>
      <c r="E17" s="723"/>
      <c r="F17" s="364" t="str">
        <f>IF($E$13&gt;=4,1,"")</f>
        <v/>
      </c>
      <c r="G17" s="207" t="str">
        <f>IF($E$13&gt;=4,"# 4","")</f>
        <v/>
      </c>
      <c r="H17" s="617"/>
      <c r="I17" s="618"/>
      <c r="J17" s="21"/>
    </row>
    <row r="18" spans="2:10" s="80" customFormat="1" ht="15.75" thickBot="1" x14ac:dyDescent="0.25">
      <c r="B18" s="7"/>
      <c r="C18" s="726"/>
      <c r="D18" s="37"/>
      <c r="E18" s="723"/>
      <c r="F18" s="364" t="str">
        <f>IF($E$13&gt;=5,1,"")</f>
        <v/>
      </c>
      <c r="G18" s="207" t="str">
        <f>IF($E$13&gt;=5,"# 5","")</f>
        <v/>
      </c>
      <c r="H18" s="617"/>
      <c r="I18" s="618"/>
      <c r="J18" s="21"/>
    </row>
    <row r="19" spans="2:10" s="80" customFormat="1" ht="15.75" thickBot="1" x14ac:dyDescent="0.25">
      <c r="B19" s="7"/>
      <c r="C19" s="727"/>
      <c r="D19" s="37"/>
      <c r="E19" s="724"/>
      <c r="F19" s="37"/>
      <c r="G19" s="720" t="s">
        <v>112</v>
      </c>
      <c r="H19" s="721"/>
      <c r="I19" s="213">
        <f>IF(E13="","",SUMPRODUCT(I14:I18,F14:F18))</f>
        <v>0</v>
      </c>
      <c r="J19" s="21"/>
    </row>
    <row r="20" spans="2:10" ht="9.9499999999999993" customHeight="1" thickBot="1" x14ac:dyDescent="0.25">
      <c r="B20" s="7"/>
      <c r="C20" s="37"/>
      <c r="D20" s="38"/>
      <c r="E20" s="39"/>
      <c r="F20" s="38"/>
      <c r="G20" s="37"/>
      <c r="H20" s="38"/>
      <c r="I20" s="38"/>
      <c r="J20" s="21"/>
    </row>
    <row r="21" spans="2:10" ht="29.1" customHeight="1" thickBot="1" x14ac:dyDescent="0.25">
      <c r="B21" s="7"/>
      <c r="C21" s="363" t="s">
        <v>104</v>
      </c>
      <c r="D21" s="108"/>
      <c r="E21" s="622"/>
      <c r="F21" s="108"/>
      <c r="G21" s="141"/>
      <c r="H21" s="108"/>
      <c r="I21" s="108"/>
      <c r="J21" s="21"/>
    </row>
    <row r="22" spans="2:10" ht="9.9499999999999993" customHeight="1" thickBot="1" x14ac:dyDescent="0.25">
      <c r="B22" s="7"/>
      <c r="C22" s="37"/>
      <c r="D22" s="38"/>
      <c r="E22" s="39"/>
      <c r="F22" s="38"/>
      <c r="G22" s="37"/>
      <c r="H22" s="38"/>
      <c r="I22" s="38"/>
      <c r="J22" s="21"/>
    </row>
    <row r="23" spans="2:10" ht="39" thickBot="1" x14ac:dyDescent="0.25">
      <c r="B23" s="7"/>
      <c r="C23" s="363" t="s">
        <v>105</v>
      </c>
      <c r="D23" s="38"/>
      <c r="E23" s="28"/>
      <c r="F23" s="38"/>
      <c r="G23" s="142"/>
      <c r="H23" s="38"/>
      <c r="I23" s="38"/>
      <c r="J23" s="21"/>
    </row>
    <row r="24" spans="2:10" s="80" customFormat="1" ht="9.9499999999999993" customHeight="1" thickBot="1" x14ac:dyDescent="0.25">
      <c r="B24" s="7"/>
      <c r="C24" s="37"/>
      <c r="D24" s="38"/>
      <c r="E24" s="39"/>
      <c r="F24" s="38"/>
      <c r="G24" s="37"/>
      <c r="H24" s="38"/>
      <c r="I24" s="38"/>
      <c r="J24" s="21"/>
    </row>
    <row r="25" spans="2:10" s="80" customFormat="1" ht="26.25" thickBot="1" x14ac:dyDescent="0.25">
      <c r="B25" s="8"/>
      <c r="C25" s="363" t="s">
        <v>106</v>
      </c>
      <c r="D25" s="38"/>
      <c r="E25" s="87"/>
      <c r="F25" s="38"/>
      <c r="G25" s="37"/>
      <c r="H25" s="38"/>
      <c r="I25" s="38"/>
      <c r="J25" s="21"/>
    </row>
    <row r="26" spans="2:10" s="80" customFormat="1" ht="9.9499999999999993" customHeight="1" thickBot="1" x14ac:dyDescent="0.25">
      <c r="B26" s="7"/>
      <c r="C26" s="37"/>
      <c r="D26" s="38"/>
      <c r="E26" s="39"/>
      <c r="F26" s="38"/>
      <c r="G26" s="37"/>
      <c r="H26" s="38"/>
      <c r="I26" s="38"/>
      <c r="J26" s="21"/>
    </row>
    <row r="27" spans="2:10" s="80" customFormat="1" ht="26.25" thickBot="1" x14ac:dyDescent="0.25">
      <c r="B27" s="8"/>
      <c r="C27" s="363" t="s">
        <v>107</v>
      </c>
      <c r="D27" s="38"/>
      <c r="E27" s="87"/>
      <c r="F27" s="38"/>
      <c r="G27" s="37"/>
      <c r="H27" s="38"/>
      <c r="I27" s="38"/>
      <c r="J27" s="21"/>
    </row>
    <row r="28" spans="2:10" s="80" customFormat="1" ht="9.9499999999999993" customHeight="1" thickBot="1" x14ac:dyDescent="0.25">
      <c r="B28" s="7"/>
      <c r="C28" s="37"/>
      <c r="D28" s="38"/>
      <c r="E28" s="39"/>
      <c r="F28" s="38"/>
      <c r="G28" s="37"/>
      <c r="H28" s="38"/>
      <c r="I28" s="38"/>
      <c r="J28" s="21"/>
    </row>
    <row r="29" spans="2:10" s="80" customFormat="1" ht="26.25" thickBot="1" x14ac:dyDescent="0.25">
      <c r="B29" s="8"/>
      <c r="C29" s="363" t="s">
        <v>108</v>
      </c>
      <c r="D29" s="38"/>
      <c r="E29" s="623"/>
      <c r="F29" s="38"/>
      <c r="G29" s="37"/>
      <c r="H29" s="38"/>
      <c r="I29" s="38"/>
      <c r="J29" s="21"/>
    </row>
    <row r="30" spans="2:10" s="80" customFormat="1" ht="9.9499999999999993" customHeight="1" thickBot="1" x14ac:dyDescent="0.25">
      <c r="B30" s="7"/>
      <c r="C30" s="37"/>
      <c r="D30" s="38"/>
      <c r="E30" s="39"/>
      <c r="F30" s="38"/>
      <c r="G30" s="37"/>
      <c r="H30" s="38"/>
      <c r="I30" s="38"/>
      <c r="J30" s="21"/>
    </row>
    <row r="31" spans="2:10" s="80" customFormat="1" ht="29.1" customHeight="1" thickBot="1" x14ac:dyDescent="0.25">
      <c r="B31" s="8"/>
      <c r="C31" s="363" t="str">
        <f>IF(E29="da","Dužina cjevovoda (km)","n.a.")</f>
        <v>n.a.</v>
      </c>
      <c r="D31" s="38"/>
      <c r="E31" s="28"/>
      <c r="F31" s="38"/>
      <c r="G31" s="37"/>
      <c r="H31" s="38"/>
      <c r="I31" s="38"/>
      <c r="J31" s="21"/>
    </row>
    <row r="32" spans="2:10" s="80" customFormat="1" ht="15.75" thickBot="1" x14ac:dyDescent="0.25">
      <c r="B32" s="9"/>
      <c r="C32" s="17"/>
      <c r="D32" s="18"/>
      <c r="E32" s="19"/>
      <c r="F32" s="18"/>
      <c r="G32" s="17"/>
      <c r="H32" s="18"/>
      <c r="I32" s="18"/>
      <c r="J32" s="23"/>
    </row>
    <row r="34" spans="2:10" ht="15.75" thickBot="1" x14ac:dyDescent="0.25"/>
    <row r="35" spans="2:10" x14ac:dyDescent="0.2">
      <c r="B35" s="6"/>
      <c r="C35" s="10"/>
      <c r="D35" s="11"/>
      <c r="E35" s="12"/>
      <c r="F35" s="11"/>
      <c r="G35" s="10"/>
      <c r="H35" s="11"/>
      <c r="I35" s="11"/>
      <c r="J35" s="20"/>
    </row>
    <row r="36" spans="2:10" ht="18" x14ac:dyDescent="0.2">
      <c r="B36" s="7"/>
      <c r="C36" s="719" t="s">
        <v>128</v>
      </c>
      <c r="D36" s="719"/>
      <c r="E36" s="719"/>
      <c r="F36" s="719"/>
      <c r="G36" s="719"/>
      <c r="H36" s="719"/>
      <c r="I36" s="719"/>
      <c r="J36" s="718"/>
    </row>
    <row r="37" spans="2:10" ht="15.75" thickBot="1" x14ac:dyDescent="0.25">
      <c r="B37" s="7"/>
      <c r="C37" s="13"/>
      <c r="D37" s="14"/>
      <c r="E37" s="15"/>
      <c r="F37" s="14"/>
      <c r="G37" s="13"/>
      <c r="H37" s="14"/>
      <c r="I37" s="14"/>
      <c r="J37" s="21"/>
    </row>
    <row r="38" spans="2:10" ht="26.25" thickBot="1" x14ac:dyDescent="0.25">
      <c r="B38" s="7"/>
      <c r="C38" s="363" t="s">
        <v>127</v>
      </c>
      <c r="D38" s="16"/>
      <c r="E38" s="624">
        <v>744.6</v>
      </c>
      <c r="F38" s="16"/>
      <c r="G38" s="16"/>
      <c r="H38" s="16"/>
      <c r="I38" s="16"/>
      <c r="J38" s="21"/>
    </row>
    <row r="39" spans="2:10" ht="15.75" thickBot="1" x14ac:dyDescent="0.25">
      <c r="B39" s="9"/>
      <c r="C39" s="17"/>
      <c r="D39" s="18"/>
      <c r="E39" s="19"/>
      <c r="F39" s="18"/>
      <c r="G39" s="17"/>
      <c r="H39" s="18"/>
      <c r="I39" s="18"/>
      <c r="J39" s="23"/>
    </row>
    <row r="41" spans="2:10" ht="23.25" x14ac:dyDescent="0.35">
      <c r="B41" s="86"/>
    </row>
  </sheetData>
  <sheetProtection selectLockedCells="1"/>
  <mergeCells count="6">
    <mergeCell ref="E5:I5"/>
    <mergeCell ref="C3:J3"/>
    <mergeCell ref="C36:J36"/>
    <mergeCell ref="G19:H19"/>
    <mergeCell ref="E13:E19"/>
    <mergeCell ref="C13:C19"/>
  </mergeCells>
  <conditionalFormatting sqref="E31">
    <cfRule type="expression" dxfId="248" priority="34">
      <formula>$E$29="no"</formula>
    </cfRule>
  </conditionalFormatting>
  <conditionalFormatting sqref="G19">
    <cfRule type="expression" dxfId="247" priority="33">
      <formula>$C51="n.a."</formula>
    </cfRule>
  </conditionalFormatting>
  <conditionalFormatting sqref="G14">
    <cfRule type="expression" dxfId="246" priority="32">
      <formula>$C46="n.a."</formula>
    </cfRule>
  </conditionalFormatting>
  <conditionalFormatting sqref="G15">
    <cfRule type="expression" dxfId="245" priority="29">
      <formula>$C47="n.a."</formula>
    </cfRule>
  </conditionalFormatting>
  <conditionalFormatting sqref="G16">
    <cfRule type="expression" dxfId="244" priority="28">
      <formula>$C48="n.a."</formula>
    </cfRule>
  </conditionalFormatting>
  <conditionalFormatting sqref="G17">
    <cfRule type="expression" dxfId="243" priority="27">
      <formula>$C49="n.a."</formula>
    </cfRule>
  </conditionalFormatting>
  <conditionalFormatting sqref="G18">
    <cfRule type="expression" dxfId="242" priority="26">
      <formula>$C50="n.a."</formula>
    </cfRule>
  </conditionalFormatting>
  <conditionalFormatting sqref="H14">
    <cfRule type="expression" dxfId="241" priority="18">
      <formula>F14=1</formula>
    </cfRule>
  </conditionalFormatting>
  <conditionalFormatting sqref="I14">
    <cfRule type="expression" dxfId="240" priority="76">
      <formula>F14=1</formula>
    </cfRule>
  </conditionalFormatting>
  <conditionalFormatting sqref="I19">
    <cfRule type="expression" dxfId="239" priority="9">
      <formula>$C57="n.a."</formula>
    </cfRule>
  </conditionalFormatting>
  <conditionalFormatting sqref="I15">
    <cfRule type="expression" dxfId="238" priority="8">
      <formula>F15=1</formula>
    </cfRule>
  </conditionalFormatting>
  <conditionalFormatting sqref="I16">
    <cfRule type="expression" dxfId="237" priority="7">
      <formula>F16=1</formula>
    </cfRule>
  </conditionalFormatting>
  <conditionalFormatting sqref="I17">
    <cfRule type="expression" dxfId="236" priority="6">
      <formula>F17=1</formula>
    </cfRule>
  </conditionalFormatting>
  <conditionalFormatting sqref="I18">
    <cfRule type="expression" dxfId="235" priority="5">
      <formula>F18=1</formula>
    </cfRule>
  </conditionalFormatting>
  <conditionalFormatting sqref="H15">
    <cfRule type="expression" dxfId="234" priority="4">
      <formula>F15=1</formula>
    </cfRule>
  </conditionalFormatting>
  <conditionalFormatting sqref="H16">
    <cfRule type="expression" dxfId="233" priority="3">
      <formula>F16=1</formula>
    </cfRule>
  </conditionalFormatting>
  <conditionalFormatting sqref="H17">
    <cfRule type="expression" dxfId="232" priority="2">
      <formula>F17=1</formula>
    </cfRule>
  </conditionalFormatting>
  <conditionalFormatting sqref="H18">
    <cfRule type="expression" dxfId="231" priority="1">
      <formula>F18=1</formula>
    </cfRule>
  </conditionalFormatting>
  <dataValidations count="2">
    <dataValidation type="whole" allowBlank="1" showInputMessage="1" showErrorMessage="1" error="Only integer values between 1 and 5 allowed!" prompt="Please enter number of different river stretches for assessment" sqref="E13">
      <formula1>1</formula1>
      <formula2>5</formula2>
    </dataValidation>
    <dataValidation type="list" errorStyle="warning" allowBlank="1" showInputMessage="1" showErrorMessage="1" errorTitle="Wrong input!" error="Please select yes or no" prompt="Izaberita da ili ne" sqref="E29">
      <formula1>$N$3:$N$5</formula1>
    </dataValidation>
  </dataValidations>
  <pageMargins left="0.7" right="0.7" top="0.78740157499999996" bottom="0.78740157499999996"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8"/>
  <sheetViews>
    <sheetView showGridLines="0" workbookViewId="0">
      <selection activeCell="G25" sqref="G25"/>
    </sheetView>
  </sheetViews>
  <sheetFormatPr defaultColWidth="10.875" defaultRowHeight="15.75" outlineLevelCol="1" x14ac:dyDescent="0.25"/>
  <cols>
    <col min="1" max="1" width="2.875" style="80" customWidth="1"/>
    <col min="2" max="2" width="4.125" style="80" customWidth="1"/>
    <col min="3" max="3" width="8.625" style="80" customWidth="1"/>
    <col min="4" max="4" width="10.875" style="80"/>
    <col min="5" max="5" width="12.375" style="80" customWidth="1"/>
    <col min="6" max="6" width="47.375" style="80" customWidth="1"/>
    <col min="7" max="7" width="18.375" style="80" customWidth="1"/>
    <col min="8" max="8" width="10.625" style="80" customWidth="1"/>
    <col min="9" max="9" width="32.375" style="80" customWidth="1"/>
    <col min="10" max="10" width="18.875" style="80" customWidth="1"/>
    <col min="11" max="11" width="11"/>
    <col min="12" max="12" width="4.125" style="80" customWidth="1"/>
    <col min="13" max="14" width="10.875" style="80"/>
    <col min="15" max="15" width="10.875" style="80" outlineLevel="1"/>
    <col min="16" max="16" width="76.625" style="80" customWidth="1" outlineLevel="1"/>
    <col min="17" max="17" width="8.375" style="80" customWidth="1" outlineLevel="1"/>
    <col min="18" max="18" width="13.875" style="80" customWidth="1" outlineLevel="1"/>
    <col min="19" max="19" width="9.125" style="80" customWidth="1" outlineLevel="1"/>
    <col min="20" max="20" width="5" style="80" customWidth="1" outlineLevel="1"/>
    <col min="21" max="21" width="44.375" style="80" customWidth="1" outlineLevel="1"/>
    <col min="22" max="22" width="10.875" style="80" outlineLevel="1"/>
    <col min="23" max="23" width="21.875" style="80" customWidth="1" outlineLevel="1"/>
    <col min="24" max="27" width="10.875" style="80" outlineLevel="1"/>
    <col min="28" max="28" width="21.5" style="80" customWidth="1" outlineLevel="1"/>
    <col min="29" max="16384" width="10.875" style="80"/>
  </cols>
  <sheetData>
    <row r="1" spans="2:28" s="1" customFormat="1" ht="17.100000000000001" customHeight="1" thickBot="1" x14ac:dyDescent="0.25">
      <c r="C1" s="24"/>
      <c r="D1" s="24"/>
      <c r="E1" s="24"/>
      <c r="G1" s="25"/>
      <c r="H1" s="25"/>
      <c r="I1" s="25"/>
      <c r="J1" s="25"/>
    </row>
    <row r="2" spans="2:28" s="1" customFormat="1" ht="14.1" customHeight="1" x14ac:dyDescent="0.2">
      <c r="B2" s="189"/>
      <c r="C2" s="190"/>
      <c r="D2" s="190"/>
      <c r="E2" s="190"/>
      <c r="F2" s="191"/>
      <c r="G2" s="191"/>
      <c r="H2" s="191"/>
      <c r="I2" s="191"/>
      <c r="J2" s="191"/>
      <c r="K2" s="191"/>
      <c r="L2" s="192"/>
      <c r="P2" s="687" t="s">
        <v>349</v>
      </c>
      <c r="Q2" s="688"/>
      <c r="R2" s="688"/>
      <c r="S2" s="689"/>
      <c r="U2" s="243" t="s">
        <v>361</v>
      </c>
      <c r="V2" s="244"/>
      <c r="W2" s="244"/>
      <c r="X2" s="245"/>
    </row>
    <row r="3" spans="2:28" s="1" customFormat="1" ht="17.100000000000001" customHeight="1" x14ac:dyDescent="0.2">
      <c r="B3" s="47"/>
      <c r="C3" s="193" t="s">
        <v>344</v>
      </c>
      <c r="D3" s="193"/>
      <c r="E3" s="193"/>
      <c r="F3" s="193"/>
      <c r="G3" s="193"/>
      <c r="H3" s="193"/>
      <c r="I3" s="193"/>
      <c r="J3" s="193"/>
      <c r="K3" s="193"/>
      <c r="L3" s="194"/>
      <c r="P3" s="690" t="s">
        <v>350</v>
      </c>
      <c r="Q3" s="247"/>
      <c r="R3" s="247" t="s">
        <v>359</v>
      </c>
      <c r="S3" s="691" t="s">
        <v>184</v>
      </c>
      <c r="U3" s="246" t="s">
        <v>362</v>
      </c>
      <c r="V3" s="247"/>
      <c r="W3" s="247" t="s">
        <v>359</v>
      </c>
      <c r="X3" s="248" t="s">
        <v>37</v>
      </c>
    </row>
    <row r="4" spans="2:28" s="1" customFormat="1" ht="17.100000000000001" customHeight="1" thickBot="1" x14ac:dyDescent="0.25">
      <c r="B4" s="195"/>
      <c r="C4" s="196"/>
      <c r="D4" s="196"/>
      <c r="E4" s="196"/>
      <c r="F4" s="196"/>
      <c r="G4" s="196"/>
      <c r="H4" s="196"/>
      <c r="I4" s="196"/>
      <c r="J4" s="196"/>
      <c r="K4" s="196"/>
      <c r="L4" s="197"/>
      <c r="P4" s="692" t="s">
        <v>351</v>
      </c>
      <c r="Q4" s="224">
        <v>1</v>
      </c>
      <c r="R4" s="223" t="s">
        <v>360</v>
      </c>
      <c r="S4" s="693" t="s">
        <v>34</v>
      </c>
      <c r="T4" s="210"/>
      <c r="U4" s="238" t="s">
        <v>363</v>
      </c>
      <c r="V4" s="224">
        <v>1</v>
      </c>
      <c r="W4" s="223" t="s">
        <v>360</v>
      </c>
      <c r="X4" s="240" t="s">
        <v>2</v>
      </c>
    </row>
    <row r="5" spans="2:28" s="1" customFormat="1" ht="14.1" customHeight="1" thickBot="1" x14ac:dyDescent="0.25">
      <c r="P5" s="692" t="s">
        <v>352</v>
      </c>
      <c r="Q5" s="224">
        <v>2</v>
      </c>
      <c r="R5" s="223" t="s">
        <v>327</v>
      </c>
      <c r="S5" s="693" t="s">
        <v>34</v>
      </c>
      <c r="T5" s="210"/>
      <c r="U5" s="238" t="s">
        <v>364</v>
      </c>
      <c r="V5" s="224">
        <v>2</v>
      </c>
      <c r="W5" s="223" t="s">
        <v>327</v>
      </c>
      <c r="X5" s="240" t="s">
        <v>2</v>
      </c>
    </row>
    <row r="6" spans="2:28" s="1" customFormat="1" ht="13.5" thickBot="1" x14ac:dyDescent="0.25">
      <c r="B6" s="189"/>
      <c r="C6" s="191"/>
      <c r="D6" s="191"/>
      <c r="E6" s="191"/>
      <c r="F6" s="11"/>
      <c r="G6" s="11"/>
      <c r="H6" s="11"/>
      <c r="I6" s="11"/>
      <c r="J6" s="11"/>
      <c r="K6" s="11"/>
      <c r="L6" s="20"/>
      <c r="P6" s="692" t="s">
        <v>353</v>
      </c>
      <c r="Q6" s="224">
        <v>3</v>
      </c>
      <c r="R6" s="223" t="s">
        <v>327</v>
      </c>
      <c r="S6" s="693" t="s">
        <v>34</v>
      </c>
      <c r="T6" s="210"/>
      <c r="U6" s="238" t="s">
        <v>365</v>
      </c>
      <c r="V6" s="224">
        <v>3</v>
      </c>
      <c r="W6" s="223" t="s">
        <v>327</v>
      </c>
      <c r="X6" s="240" t="s">
        <v>2</v>
      </c>
    </row>
    <row r="7" spans="2:28" s="186" customFormat="1" ht="35.1" customHeight="1" thickBot="1" x14ac:dyDescent="0.25">
      <c r="B7" s="201"/>
      <c r="C7" s="216" t="s">
        <v>337</v>
      </c>
      <c r="D7" s="803" t="s">
        <v>110</v>
      </c>
      <c r="E7" s="804"/>
      <c r="F7" s="217" t="s">
        <v>346</v>
      </c>
      <c r="G7" s="216" t="s">
        <v>345</v>
      </c>
      <c r="H7" s="216" t="s">
        <v>184</v>
      </c>
      <c r="I7" s="216" t="s">
        <v>347</v>
      </c>
      <c r="J7" s="216" t="s">
        <v>348</v>
      </c>
      <c r="K7" s="216" t="s">
        <v>184</v>
      </c>
      <c r="L7" s="21"/>
      <c r="P7" s="692" t="s">
        <v>354</v>
      </c>
      <c r="Q7" s="224">
        <v>4</v>
      </c>
      <c r="R7" s="223" t="s">
        <v>327</v>
      </c>
      <c r="S7" s="693" t="s">
        <v>34</v>
      </c>
      <c r="T7" s="210"/>
      <c r="U7" s="238" t="s">
        <v>367</v>
      </c>
      <c r="V7" s="224">
        <v>4</v>
      </c>
      <c r="W7" s="223" t="s">
        <v>327</v>
      </c>
      <c r="X7" s="240" t="s">
        <v>2</v>
      </c>
      <c r="Z7" s="1"/>
      <c r="AA7" s="1"/>
      <c r="AB7" s="1"/>
    </row>
    <row r="8" spans="2:28" ht="33.950000000000003" customHeight="1" thickBot="1" x14ac:dyDescent="0.25">
      <c r="B8" s="204">
        <f>'Unos podataka'!F14</f>
        <v>1</v>
      </c>
      <c r="C8" s="207" t="str">
        <f>'Unos podataka'!G14</f>
        <v># 1</v>
      </c>
      <c r="D8" s="805">
        <f>IF(B8&lt;&gt;"",'Unos podataka'!H14,"")</f>
        <v>0</v>
      </c>
      <c r="E8" s="802"/>
      <c r="F8" s="636"/>
      <c r="G8" s="218" t="str">
        <f>IF(F8="","",VLOOKUP(MATCH(F8,$P$4:$P$11,0),Q$4:$R11,2))</f>
        <v/>
      </c>
      <c r="H8" s="220" t="str">
        <f>IF(F8="","",VLOOKUP(MATCH(F8,$P$4:$P$12,0),Q$4:$S12,3))</f>
        <v/>
      </c>
      <c r="I8" s="636"/>
      <c r="J8" s="218" t="str">
        <f>IF(I8="","",VLOOKUP(MATCH(I8,$U$4:$U$12,0),$V$4:W12,2))</f>
        <v/>
      </c>
      <c r="K8" s="220" t="str">
        <f>IF(AND(B8=1,I8&lt;&gt;""),"*","")</f>
        <v/>
      </c>
      <c r="L8" s="254">
        <f>IF(OR(F8="",I8=""),1,0)</f>
        <v>1</v>
      </c>
      <c r="P8" s="692" t="s">
        <v>355</v>
      </c>
      <c r="Q8" s="224">
        <v>5</v>
      </c>
      <c r="R8" s="223" t="s">
        <v>327</v>
      </c>
      <c r="S8" s="693" t="s">
        <v>34</v>
      </c>
      <c r="T8" s="210"/>
      <c r="U8" s="238" t="s">
        <v>366</v>
      </c>
      <c r="V8" s="224">
        <v>5</v>
      </c>
      <c r="W8" s="223" t="s">
        <v>327</v>
      </c>
      <c r="X8" s="240" t="s">
        <v>2</v>
      </c>
    </row>
    <row r="9" spans="2:28" ht="33.950000000000003" customHeight="1" thickBot="1" x14ac:dyDescent="0.25">
      <c r="B9" s="204">
        <f>'Unos podataka'!F15</f>
        <v>1</v>
      </c>
      <c r="C9" s="207" t="str">
        <f>'Unos podataka'!G15</f>
        <v># 2</v>
      </c>
      <c r="D9" s="805">
        <f>IF(B9&lt;&gt;"",'Unos podataka'!H15,"")</f>
        <v>0</v>
      </c>
      <c r="E9" s="802"/>
      <c r="F9" s="636"/>
      <c r="G9" s="218" t="str">
        <f>IF(F9="","",VLOOKUP(MATCH(F9,$P$4:$P$12,0),Q$4:$R12,2))</f>
        <v/>
      </c>
      <c r="H9" s="220" t="str">
        <f>IF(F9="","",VLOOKUP(MATCH(F9,$P$4:$P$12,0),Q$4:$S12,3))</f>
        <v/>
      </c>
      <c r="I9" s="636"/>
      <c r="J9" s="218" t="str">
        <f>IF(I9="","",VLOOKUP(MATCH(I9,$U$4:$U$12,0),$V$4:W13,2))</f>
        <v/>
      </c>
      <c r="K9" s="220" t="str">
        <f>IF(AND(B9=1,I9&lt;&gt;""),"*","")</f>
        <v/>
      </c>
      <c r="L9" s="254">
        <f>IF(OR(F9="",I9=""),1,0)</f>
        <v>1</v>
      </c>
      <c r="P9" s="692" t="s">
        <v>356</v>
      </c>
      <c r="Q9" s="224">
        <v>6</v>
      </c>
      <c r="R9" s="223" t="s">
        <v>327</v>
      </c>
      <c r="S9" s="693" t="s">
        <v>34</v>
      </c>
      <c r="T9" s="210"/>
      <c r="U9" s="238" t="s">
        <v>368</v>
      </c>
      <c r="V9" s="224">
        <v>6</v>
      </c>
      <c r="W9" s="223" t="s">
        <v>327</v>
      </c>
      <c r="X9" s="240" t="s">
        <v>2</v>
      </c>
    </row>
    <row r="10" spans="2:28" ht="33.950000000000003" customHeight="1" thickBot="1" x14ac:dyDescent="0.25">
      <c r="B10" s="204" t="str">
        <f>'Unos podataka'!F16</f>
        <v/>
      </c>
      <c r="C10" s="207" t="str">
        <f>'Unos podataka'!G16</f>
        <v/>
      </c>
      <c r="D10" s="805" t="str">
        <f>IF(B10&lt;&gt;"",'Unos podataka'!H16,"")</f>
        <v/>
      </c>
      <c r="E10" s="802"/>
      <c r="F10" s="636"/>
      <c r="G10" s="218" t="str">
        <f>IF(F10="","",VLOOKUP(MATCH(F10,$P$4:$P$12,0),Q$4:$R13,2))</f>
        <v/>
      </c>
      <c r="H10" s="220" t="str">
        <f>IF(F10="","",VLOOKUP(MATCH(F10,$P$4:$P$12,0),Q$4:$S13,3))</f>
        <v/>
      </c>
      <c r="I10" s="636"/>
      <c r="J10" s="218" t="str">
        <f>IF(I10="","",VLOOKUP(MATCH(I10,$U$4:$U$12,0),$V$4:W14,2))</f>
        <v/>
      </c>
      <c r="K10" s="220" t="str">
        <f>IF(AND(B10=1,I10&lt;&gt;""),"*","")</f>
        <v/>
      </c>
      <c r="L10" s="254">
        <f>IF(OR(F10="",I10=""),1,0)</f>
        <v>1</v>
      </c>
      <c r="P10" s="692" t="s">
        <v>358</v>
      </c>
      <c r="Q10" s="224">
        <v>7</v>
      </c>
      <c r="R10" s="223" t="s">
        <v>327</v>
      </c>
      <c r="S10" s="693" t="s">
        <v>34</v>
      </c>
      <c r="T10" s="237"/>
      <c r="U10" s="238" t="s">
        <v>369</v>
      </c>
      <c r="V10" s="224">
        <v>7</v>
      </c>
      <c r="W10" s="223" t="s">
        <v>328</v>
      </c>
      <c r="X10" s="240" t="s">
        <v>2</v>
      </c>
    </row>
    <row r="11" spans="2:28" ht="33.950000000000003" customHeight="1" thickBot="1" x14ac:dyDescent="0.25">
      <c r="B11" s="204" t="str">
        <f>'Unos podataka'!F17</f>
        <v/>
      </c>
      <c r="C11" s="368" t="str">
        <f>'Unos podataka'!G17</f>
        <v/>
      </c>
      <c r="D11" s="805" t="str">
        <f>IF(B11&lt;&gt;"",'Unos podataka'!H17,"")</f>
        <v/>
      </c>
      <c r="E11" s="802"/>
      <c r="F11" s="636"/>
      <c r="G11" s="218" t="str">
        <f>IF(F11="","",VLOOKUP(MATCH(F11,$P$4:$P$12,0),Q$4:$R14,2))</f>
        <v/>
      </c>
      <c r="H11" s="220" t="str">
        <f>IF(F11="","",VLOOKUP(MATCH(F11,$P$4:$P$12,0),Q$4:$S14,3))</f>
        <v/>
      </c>
      <c r="I11" s="636"/>
      <c r="J11" s="218" t="str">
        <f>IF(I11="","",VLOOKUP(MATCH(I11,$U$4:$U$12,0),$V$4:W15,2))</f>
        <v/>
      </c>
      <c r="K11" s="220" t="str">
        <f>IF(AND(B11=1,I11&lt;&gt;""),"*","")</f>
        <v/>
      </c>
      <c r="L11" s="254">
        <f>IF(OR(F11="",I11=""),1,0)</f>
        <v>1</v>
      </c>
      <c r="P11" s="694" t="s">
        <v>357</v>
      </c>
      <c r="Q11" s="695">
        <v>8</v>
      </c>
      <c r="R11" s="696" t="s">
        <v>328</v>
      </c>
      <c r="S11" s="697" t="s">
        <v>2</v>
      </c>
      <c r="T11" s="237"/>
      <c r="U11" s="238" t="s">
        <v>370</v>
      </c>
      <c r="V11" s="224">
        <v>8</v>
      </c>
      <c r="W11" s="223" t="s">
        <v>328</v>
      </c>
      <c r="X11" s="240" t="s">
        <v>2</v>
      </c>
    </row>
    <row r="12" spans="2:28" ht="33.950000000000003" customHeight="1" thickBot="1" x14ac:dyDescent="0.25">
      <c r="B12" s="204" t="str">
        <f>'Unos podataka'!F18</f>
        <v/>
      </c>
      <c r="C12" s="629" t="str">
        <f>'Unos podataka'!G18</f>
        <v/>
      </c>
      <c r="D12" s="802" t="str">
        <f>IF(B12&lt;&gt;"",'Unos podataka'!H18,"")</f>
        <v/>
      </c>
      <c r="E12" s="802"/>
      <c r="F12" s="636"/>
      <c r="G12" s="218" t="str">
        <f>IF(F12="","",VLOOKUP(MATCH(F12,$P$4:$P$12,0),Q$4:$R15,2))</f>
        <v/>
      </c>
      <c r="H12" s="221" t="str">
        <f>IF(F12="","",VLOOKUP(MATCH(F12,$P$4:$P$12,0),Q$4:$S15,3))</f>
        <v/>
      </c>
      <c r="I12" s="636"/>
      <c r="J12" s="218" t="str">
        <f>IF(I12="","",VLOOKUP(MATCH(I12,$U$4:$U$12,0),$V$4:W16,2))</f>
        <v/>
      </c>
      <c r="K12" s="221" t="str">
        <f>IF(AND(B12=1,I12&lt;&gt;""),"*","")</f>
        <v/>
      </c>
      <c r="L12" s="254">
        <f>IF(OR(F12="",I12=""),1,0)</f>
        <v>1</v>
      </c>
      <c r="U12" s="239" t="s">
        <v>371</v>
      </c>
      <c r="V12" s="231">
        <v>9</v>
      </c>
      <c r="W12" s="241" t="s">
        <v>328</v>
      </c>
      <c r="X12" s="242" t="s">
        <v>2</v>
      </c>
    </row>
    <row r="13" spans="2:28" ht="17.100000000000001" customHeight="1" x14ac:dyDescent="0.2">
      <c r="B13" s="204"/>
      <c r="C13" s="46"/>
      <c r="D13" s="46"/>
      <c r="E13" s="46"/>
      <c r="F13" s="46"/>
      <c r="G13" s="46"/>
      <c r="H13" s="46"/>
      <c r="I13" s="46"/>
      <c r="J13" s="46"/>
      <c r="K13" s="46"/>
      <c r="L13" s="21"/>
      <c r="V13" s="210"/>
    </row>
    <row r="14" spans="2:28" thickBot="1" x14ac:dyDescent="0.25">
      <c r="B14" s="211"/>
      <c r="C14" s="51"/>
      <c r="D14" s="51"/>
      <c r="E14" s="51"/>
      <c r="F14" s="51"/>
      <c r="G14" s="51"/>
      <c r="H14" s="51"/>
      <c r="I14" s="51"/>
      <c r="J14" s="51"/>
      <c r="K14" s="51"/>
      <c r="L14" s="212"/>
    </row>
    <row r="15" spans="2:28" ht="16.5" thickBot="1" x14ac:dyDescent="0.3"/>
    <row r="16" spans="2:28" ht="15" x14ac:dyDescent="0.2">
      <c r="B16" s="249"/>
      <c r="C16" s="250"/>
      <c r="D16" s="250"/>
      <c r="E16" s="250"/>
      <c r="F16" s="250"/>
      <c r="G16" s="250"/>
      <c r="H16" s="250"/>
      <c r="I16" s="250"/>
      <c r="J16" s="250"/>
      <c r="K16" s="250"/>
      <c r="L16" s="251"/>
    </row>
    <row r="17" spans="2:12" ht="23.25" x14ac:dyDescent="0.35">
      <c r="B17" s="45"/>
      <c r="C17" s="796" t="str">
        <f>IF(C8="","",IF(SUMPRODUCT(B8:B12,L8:L12)&lt;&gt;0,"Ocjena kriterija nije završena!", "Sva vodna tijela su ocijenjena!"))</f>
        <v>Ocjena kriterija nije završena!</v>
      </c>
      <c r="D17" s="796"/>
      <c r="E17" s="796"/>
      <c r="F17" s="796"/>
      <c r="G17" s="796"/>
      <c r="H17" s="796"/>
      <c r="I17" s="796"/>
      <c r="J17" s="796"/>
      <c r="K17" s="674">
        <f>IF(C8="",0,IF(SUMPRODUCT(B8:B12,L8:L12)&lt;&gt;0,0,1))</f>
        <v>0</v>
      </c>
      <c r="L17" s="49"/>
    </row>
    <row r="18" spans="2:12" thickBot="1" x14ac:dyDescent="0.25">
      <c r="B18" s="211"/>
      <c r="C18" s="51"/>
      <c r="D18" s="51"/>
      <c r="E18" s="51"/>
      <c r="F18" s="51"/>
      <c r="G18" s="51"/>
      <c r="H18" s="51"/>
      <c r="I18" s="51"/>
      <c r="J18" s="51"/>
      <c r="K18" s="51"/>
      <c r="L18" s="212"/>
    </row>
  </sheetData>
  <mergeCells count="7">
    <mergeCell ref="D12:E12"/>
    <mergeCell ref="C17:J17"/>
    <mergeCell ref="D7:E7"/>
    <mergeCell ref="D8:E8"/>
    <mergeCell ref="D9:E9"/>
    <mergeCell ref="D10:E10"/>
    <mergeCell ref="D11:E11"/>
  </mergeCells>
  <conditionalFormatting sqref="C8:C12">
    <cfRule type="expression" dxfId="172" priority="53">
      <formula>$C8="n.a."</formula>
    </cfRule>
  </conditionalFormatting>
  <conditionalFormatting sqref="F8:F12">
    <cfRule type="expression" dxfId="171" priority="51">
      <formula>B8&lt;&gt;1</formula>
    </cfRule>
  </conditionalFormatting>
  <conditionalFormatting sqref="I8">
    <cfRule type="expression" dxfId="170" priority="48">
      <formula>B8&lt;&gt;1</formula>
    </cfRule>
  </conditionalFormatting>
  <conditionalFormatting sqref="G8">
    <cfRule type="expression" dxfId="169" priority="39">
      <formula>B8&lt;&gt;1</formula>
    </cfRule>
  </conditionalFormatting>
  <conditionalFormatting sqref="J8">
    <cfRule type="expression" dxfId="168" priority="30">
      <formula>B8&lt;&gt;1</formula>
    </cfRule>
  </conditionalFormatting>
  <conditionalFormatting sqref="C17">
    <cfRule type="expression" dxfId="167" priority="17">
      <formula>SUMPRODUCT($B$8:$B$12,$L$8:$L$12)=0</formula>
    </cfRule>
  </conditionalFormatting>
  <conditionalFormatting sqref="G9">
    <cfRule type="expression" dxfId="166" priority="12">
      <formula>B9&lt;&gt;1</formula>
    </cfRule>
  </conditionalFormatting>
  <conditionalFormatting sqref="G10">
    <cfRule type="expression" dxfId="165" priority="11">
      <formula>B10&lt;&gt;1</formula>
    </cfRule>
  </conditionalFormatting>
  <conditionalFormatting sqref="G11">
    <cfRule type="expression" dxfId="164" priority="10">
      <formula>B11&lt;&gt;1</formula>
    </cfRule>
  </conditionalFormatting>
  <conditionalFormatting sqref="G12">
    <cfRule type="expression" dxfId="163" priority="9">
      <formula>B12&lt;&gt;1</formula>
    </cfRule>
  </conditionalFormatting>
  <conditionalFormatting sqref="J9">
    <cfRule type="expression" dxfId="162" priority="8">
      <formula>B9&lt;&gt;1</formula>
    </cfRule>
  </conditionalFormatting>
  <conditionalFormatting sqref="J10">
    <cfRule type="expression" dxfId="161" priority="7">
      <formula>B10&lt;&gt;1</formula>
    </cfRule>
  </conditionalFormatting>
  <conditionalFormatting sqref="J11">
    <cfRule type="expression" dxfId="160" priority="6">
      <formula>B11&lt;&gt;1</formula>
    </cfRule>
  </conditionalFormatting>
  <conditionalFormatting sqref="J12">
    <cfRule type="expression" dxfId="159" priority="5">
      <formula>B12&lt;&gt;1</formula>
    </cfRule>
  </conditionalFormatting>
  <conditionalFormatting sqref="I9">
    <cfRule type="expression" dxfId="158" priority="4">
      <formula>B9&lt;&gt;1</formula>
    </cfRule>
  </conditionalFormatting>
  <conditionalFormatting sqref="I10">
    <cfRule type="expression" dxfId="157" priority="3">
      <formula>B10&lt;&gt;1</formula>
    </cfRule>
  </conditionalFormatting>
  <conditionalFormatting sqref="I11">
    <cfRule type="expression" dxfId="156" priority="2">
      <formula>B11&lt;&gt;1</formula>
    </cfRule>
  </conditionalFormatting>
  <conditionalFormatting sqref="I12">
    <cfRule type="expression" dxfId="155" priority="1">
      <formula>B12&lt;&gt;1</formula>
    </cfRule>
  </conditionalFormatting>
  <dataValidations count="4">
    <dataValidation type="list" allowBlank="1" showInputMessage="1" showErrorMessage="1" error="Wrong input!" prompt="Please select type specific feature" sqref="I10:I12">
      <formula1>$U$4:$U$13</formula1>
    </dataValidation>
    <dataValidation type="list" allowBlank="1" showInputMessage="1" showErrorMessage="1" error="Wrong input!" prompt="Please select type of water body" sqref="F10:F12">
      <formula1>$P$4:$P$12</formula1>
    </dataValidation>
    <dataValidation type="list" allowBlank="1" showInputMessage="1" showErrorMessage="1" error="Wrong input!" prompt="Izaberite vrstu vodnog tijela" sqref="F8 F9">
      <formula1>$P$4:$P$12</formula1>
    </dataValidation>
    <dataValidation type="list" allowBlank="1" showInputMessage="1" showErrorMessage="1" error="Wrong input!" prompt="Izaberite obilježja specifična za tip V.T." sqref="I8 I9">
      <formula1>$U$4:$U$13</formula1>
    </dataValidation>
  </dataValidation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showGridLines="0" workbookViewId="0">
      <selection activeCell="O6" sqref="O6"/>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8" width="10.625" style="80" customWidth="1"/>
    <col min="9" max="9" width="4.125" style="80" customWidth="1"/>
    <col min="10" max="12" width="10.875" style="80"/>
    <col min="13" max="13" width="36" style="80" customWidth="1" outlineLevel="1"/>
    <col min="14" max="14" width="10.875" style="80" customWidth="1" outlineLevel="1"/>
    <col min="15" max="15" width="21.875" style="80" customWidth="1" outlineLevel="1"/>
    <col min="16" max="16384" width="10.875" style="80"/>
  </cols>
  <sheetData>
    <row r="1" spans="2:15" s="1" customFormat="1" ht="17.100000000000001" customHeight="1" thickBot="1" x14ac:dyDescent="0.25">
      <c r="C1" s="24"/>
      <c r="D1" s="24"/>
      <c r="E1" s="24"/>
      <c r="G1" s="25"/>
      <c r="H1" s="25"/>
    </row>
    <row r="2" spans="2:15" s="1" customFormat="1" ht="14.1" customHeight="1" thickBot="1" x14ac:dyDescent="0.25">
      <c r="B2" s="189"/>
      <c r="C2" s="190"/>
      <c r="D2" s="190"/>
      <c r="E2" s="190"/>
      <c r="F2" s="191"/>
      <c r="G2" s="191"/>
      <c r="H2" s="191"/>
      <c r="I2" s="192"/>
      <c r="K2" s="25"/>
      <c r="M2" s="189" t="s">
        <v>374</v>
      </c>
      <c r="N2" s="191"/>
      <c r="O2" s="192"/>
    </row>
    <row r="3" spans="2:15" s="1" customFormat="1" ht="17.100000000000001" customHeight="1" x14ac:dyDescent="0.2">
      <c r="B3" s="47"/>
      <c r="C3" s="193" t="s">
        <v>372</v>
      </c>
      <c r="D3" s="193"/>
      <c r="E3" s="193"/>
      <c r="F3" s="193"/>
      <c r="G3" s="193"/>
      <c r="H3" s="193"/>
      <c r="I3" s="194"/>
      <c r="K3" s="25"/>
      <c r="M3" s="225" t="s">
        <v>119</v>
      </c>
      <c r="N3" s="226" t="s">
        <v>35</v>
      </c>
      <c r="O3" s="227" t="s">
        <v>375</v>
      </c>
    </row>
    <row r="4" spans="2:15" s="1" customFormat="1" ht="17.100000000000001" customHeight="1" thickBot="1" x14ac:dyDescent="0.25">
      <c r="B4" s="195"/>
      <c r="C4" s="196"/>
      <c r="D4" s="196"/>
      <c r="E4" s="196"/>
      <c r="F4" s="196"/>
      <c r="G4" s="196"/>
      <c r="H4" s="196"/>
      <c r="I4" s="197"/>
      <c r="K4" s="25"/>
      <c r="M4" s="228" t="s">
        <v>120</v>
      </c>
      <c r="N4" s="224" t="s">
        <v>35</v>
      </c>
      <c r="O4" s="229" t="s">
        <v>329</v>
      </c>
    </row>
    <row r="5" spans="2:15" s="1" customFormat="1" ht="14.1" customHeight="1" thickBot="1" x14ac:dyDescent="0.25">
      <c r="M5" s="228" t="s">
        <v>118</v>
      </c>
      <c r="N5" s="224"/>
      <c r="O5" s="229"/>
    </row>
    <row r="6" spans="2:15" s="1" customFormat="1" ht="13.5" thickBot="1" x14ac:dyDescent="0.25">
      <c r="B6" s="189"/>
      <c r="C6" s="191"/>
      <c r="D6" s="191"/>
      <c r="E6" s="191"/>
      <c r="F6" s="11"/>
      <c r="G6" s="11"/>
      <c r="H6" s="11"/>
      <c r="I6" s="20"/>
      <c r="M6" s="230"/>
      <c r="N6" s="231"/>
      <c r="O6" s="232"/>
    </row>
    <row r="7" spans="2:15" s="186" customFormat="1" ht="35.1" customHeight="1" thickBot="1" x14ac:dyDescent="0.25">
      <c r="B7" s="201"/>
      <c r="C7" s="216" t="s">
        <v>330</v>
      </c>
      <c r="D7" s="803" t="s">
        <v>110</v>
      </c>
      <c r="E7" s="804"/>
      <c r="F7" s="216" t="s">
        <v>373</v>
      </c>
      <c r="G7" s="217" t="s">
        <v>116</v>
      </c>
      <c r="H7" s="216" t="s">
        <v>184</v>
      </c>
      <c r="I7" s="21"/>
    </row>
    <row r="8" spans="2:15" ht="33.950000000000003" customHeight="1" thickBot="1" x14ac:dyDescent="0.25">
      <c r="B8" s="204">
        <f>'Unos podataka'!F14</f>
        <v>1</v>
      </c>
      <c r="C8" s="207" t="str">
        <f>'Unos podataka'!G14</f>
        <v># 1</v>
      </c>
      <c r="D8" s="805">
        <f>IF(B8&lt;&gt;"",'Unos podataka'!H14,"")</f>
        <v>0</v>
      </c>
      <c r="E8" s="802"/>
      <c r="F8" s="641" t="s">
        <v>118</v>
      </c>
      <c r="G8" s="218" t="str">
        <f>IF(F8="da",$O$3,IF(F8="ne",$O$4,""))</f>
        <v/>
      </c>
      <c r="H8" s="233" t="str">
        <f>IF(F8="yes",$N$3,IF(F8="no",$N$4,""))</f>
        <v/>
      </c>
      <c r="I8" s="254">
        <f>IF(F8=$M$5,1,0)</f>
        <v>1</v>
      </c>
    </row>
    <row r="9" spans="2:15" ht="33.950000000000003" customHeight="1" thickBot="1" x14ac:dyDescent="0.25">
      <c r="B9" s="204">
        <f>'Unos podataka'!F15</f>
        <v>1</v>
      </c>
      <c r="C9" s="207" t="str">
        <f>'Unos podataka'!G15</f>
        <v># 2</v>
      </c>
      <c r="D9" s="805">
        <f>IF(B9&lt;&gt;"",'Unos podataka'!H15,"")</f>
        <v>0</v>
      </c>
      <c r="E9" s="802"/>
      <c r="F9" s="641" t="s">
        <v>118</v>
      </c>
      <c r="G9" s="218" t="str">
        <f>IF(F9="da",$O$3,IF(F9="ne",$O$4,""))</f>
        <v/>
      </c>
      <c r="H9" s="233" t="str">
        <f>IF(F9="yes",$N$3,IF(F9="no",$N$4,""))</f>
        <v/>
      </c>
      <c r="I9" s="254">
        <f t="shared" ref="I9:I12" si="0">IF(F9=$M$5,1,0)</f>
        <v>1</v>
      </c>
    </row>
    <row r="10" spans="2:15" ht="33.950000000000003" customHeight="1" thickBot="1" x14ac:dyDescent="0.25">
      <c r="B10" s="204" t="str">
        <f>'Unos podataka'!F16</f>
        <v/>
      </c>
      <c r="C10" s="207" t="str">
        <f>'Unos podataka'!G16</f>
        <v/>
      </c>
      <c r="D10" s="805" t="str">
        <f>IF(B10&lt;&gt;"",'Unos podataka'!H16,"")</f>
        <v/>
      </c>
      <c r="E10" s="802"/>
      <c r="F10" s="641" t="s">
        <v>59</v>
      </c>
      <c r="G10" s="218" t="str">
        <f>IF(F10="yes",$O$3,IF(F10="no",$O$4,""))</f>
        <v/>
      </c>
      <c r="H10" s="233" t="str">
        <f>IF(F10="yes",$N$3,IF(F10="no",$N$4,""))</f>
        <v/>
      </c>
      <c r="I10" s="254">
        <f t="shared" si="0"/>
        <v>0</v>
      </c>
    </row>
    <row r="11" spans="2:15" ht="33.950000000000003" customHeight="1" thickBot="1" x14ac:dyDescent="0.25">
      <c r="B11" s="204" t="str">
        <f>'Unos podataka'!F17</f>
        <v/>
      </c>
      <c r="C11" s="368" t="str">
        <f>'Unos podataka'!G17</f>
        <v/>
      </c>
      <c r="D11" s="805" t="str">
        <f>IF(B11&lt;&gt;"",'Unos podataka'!H17,"")</f>
        <v/>
      </c>
      <c r="E11" s="802"/>
      <c r="F11" s="641" t="s">
        <v>59</v>
      </c>
      <c r="G11" s="218" t="str">
        <f>IF(F11="yes",$O$3,IF(F11="no",$O$4,""))</f>
        <v/>
      </c>
      <c r="H11" s="233" t="str">
        <f>IF(F11="yes",$N$3,IF(F11="no",$N$4,""))</f>
        <v/>
      </c>
      <c r="I11" s="254">
        <f t="shared" si="0"/>
        <v>0</v>
      </c>
    </row>
    <row r="12" spans="2:15" ht="33.950000000000003" customHeight="1" thickBot="1" x14ac:dyDescent="0.25">
      <c r="B12" s="204" t="str">
        <f>'Unos podataka'!F18</f>
        <v/>
      </c>
      <c r="C12" s="629" t="str">
        <f>'Unos podataka'!G18</f>
        <v/>
      </c>
      <c r="D12" s="802" t="str">
        <f>IF(B12&lt;&gt;"",'Unos podataka'!H18,"")</f>
        <v/>
      </c>
      <c r="E12" s="802"/>
      <c r="F12" s="641" t="s">
        <v>59</v>
      </c>
      <c r="G12" s="218" t="str">
        <f>IF(F12="yes",$O$3,IF(F12="no",$O$4,""))</f>
        <v/>
      </c>
      <c r="H12" s="234" t="str">
        <f>IF(F12="yes",$N$3,IF(F12="no",$N$4,""))</f>
        <v/>
      </c>
      <c r="I12" s="254">
        <f t="shared" si="0"/>
        <v>0</v>
      </c>
    </row>
    <row r="13" spans="2:15" ht="14.1" customHeight="1" thickBot="1" x14ac:dyDescent="0.25">
      <c r="B13" s="211"/>
      <c r="C13" s="51"/>
      <c r="D13" s="51"/>
      <c r="E13" s="51"/>
      <c r="F13" s="51"/>
      <c r="G13" s="51"/>
      <c r="H13" s="51"/>
      <c r="I13" s="212"/>
    </row>
    <row r="14" spans="2:15" ht="15.75" thickBot="1" x14ac:dyDescent="0.25"/>
    <row r="15" spans="2:15" x14ac:dyDescent="0.2">
      <c r="B15" s="249"/>
      <c r="C15" s="250"/>
      <c r="D15" s="250"/>
      <c r="E15" s="250"/>
      <c r="F15" s="250"/>
      <c r="G15" s="250"/>
      <c r="H15" s="250"/>
      <c r="I15" s="251"/>
    </row>
    <row r="16" spans="2:15" ht="23.25" x14ac:dyDescent="0.35">
      <c r="B16" s="45"/>
      <c r="C16" s="796" t="str">
        <f>IF(C8="","",IF(SUMPRODUCT(B8:B12,I8:I12)&lt;&gt;0,"Ocjena kriterija nije završena!", "Sva vodna tijela su ocijenjena!"))</f>
        <v>Ocjena kriterija nije završena!</v>
      </c>
      <c r="D16" s="796"/>
      <c r="E16" s="796"/>
      <c r="F16" s="796"/>
      <c r="G16" s="796"/>
      <c r="H16" s="674">
        <f>IF(C8="",0,IF(SUMPRODUCT(B8:B12,I8:I12)&lt;&gt;0,0,1))</f>
        <v>0</v>
      </c>
      <c r="I16" s="49"/>
      <c r="M16" s="208"/>
    </row>
    <row r="17" spans="2:9" ht="15.75" thickBot="1" x14ac:dyDescent="0.25">
      <c r="B17" s="211"/>
      <c r="C17" s="51"/>
      <c r="D17" s="51"/>
      <c r="E17" s="51"/>
      <c r="F17" s="51"/>
      <c r="G17" s="51"/>
      <c r="H17" s="51"/>
      <c r="I17" s="212"/>
    </row>
  </sheetData>
  <mergeCells count="7">
    <mergeCell ref="D12:E12"/>
    <mergeCell ref="C16:G16"/>
    <mergeCell ref="D7:E7"/>
    <mergeCell ref="D8:E8"/>
    <mergeCell ref="D9:E9"/>
    <mergeCell ref="D10:E10"/>
    <mergeCell ref="D11:E11"/>
  </mergeCells>
  <conditionalFormatting sqref="C8:C12">
    <cfRule type="expression" dxfId="154" priority="10">
      <formula>$C8="n.a."</formula>
    </cfRule>
  </conditionalFormatting>
  <conditionalFormatting sqref="F8:F12">
    <cfRule type="expression" dxfId="153" priority="8">
      <formula>B8&lt;&gt;1</formula>
    </cfRule>
  </conditionalFormatting>
  <conditionalFormatting sqref="G8:G12">
    <cfRule type="expression" dxfId="152" priority="7">
      <formula>B8&lt;&gt;1</formula>
    </cfRule>
  </conditionalFormatting>
  <conditionalFormatting sqref="H10">
    <cfRule type="expression" dxfId="151" priority="6">
      <formula>B10=1</formula>
    </cfRule>
  </conditionalFormatting>
  <conditionalFormatting sqref="H9">
    <cfRule type="expression" dxfId="150" priority="5">
      <formula>B9=1</formula>
    </cfRule>
  </conditionalFormatting>
  <conditionalFormatting sqref="H8">
    <cfRule type="expression" dxfId="149" priority="4">
      <formula>B8=1</formula>
    </cfRule>
  </conditionalFormatting>
  <conditionalFormatting sqref="H11">
    <cfRule type="expression" dxfId="148" priority="3">
      <formula>B11=1</formula>
    </cfRule>
  </conditionalFormatting>
  <conditionalFormatting sqref="H12">
    <cfRule type="expression" dxfId="147" priority="2">
      <formula>B12=1</formula>
    </cfRule>
  </conditionalFormatting>
  <conditionalFormatting sqref="C16">
    <cfRule type="expression" dxfId="146" priority="1">
      <formula>SUMPRODUCT($B$8:$B$12,$I$8:$I$12)=0</formula>
    </cfRule>
  </conditionalFormatting>
  <dataValidations count="2">
    <dataValidation type="list" allowBlank="1" showInputMessage="1" showErrorMessage="1" error="Wrong input!" prompt="Please select if migration to confluences is applicable or not" sqref="F10:F12">
      <formula1>$M$3:$M$5</formula1>
    </dataValidation>
    <dataValidation type="list" allowBlank="1" showInputMessage="1" showErrorMessage="1" error="Wrong input!" prompt="Izaberite da ili ne" sqref="F8 F9">
      <formula1>$M$3:$M$5</formula1>
    </dataValidation>
  </dataValidation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workbookViewId="0">
      <selection activeCell="E31" sqref="E31:G32"/>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9" width="4.125" style="80" customWidth="1"/>
    <col min="10" max="12" width="10.875" style="80"/>
    <col min="13" max="13" width="36" style="80" customWidth="1" outlineLevel="1"/>
    <col min="14" max="14" width="10.875" style="80" outlineLevel="1"/>
    <col min="15" max="15" width="21.875" style="80" customWidth="1" outlineLevel="1"/>
    <col min="16" max="16384" width="10.875" style="80"/>
  </cols>
  <sheetData>
    <row r="1" spans="2:15" s="1" customFormat="1" ht="17.100000000000001" customHeight="1" thickBot="1" x14ac:dyDescent="0.25">
      <c r="C1" s="24"/>
      <c r="D1" s="24"/>
      <c r="E1" s="24"/>
      <c r="G1" s="25"/>
      <c r="H1" s="25"/>
    </row>
    <row r="2" spans="2:15" s="1" customFormat="1" ht="14.1" customHeight="1" thickBot="1" x14ac:dyDescent="0.25">
      <c r="B2" s="189"/>
      <c r="C2" s="190"/>
      <c r="D2" s="190"/>
      <c r="E2" s="190"/>
      <c r="F2" s="191"/>
      <c r="G2" s="191"/>
      <c r="H2" s="192"/>
      <c r="K2" s="25"/>
      <c r="M2" s="189" t="s">
        <v>377</v>
      </c>
      <c r="N2" s="191"/>
      <c r="O2" s="192"/>
    </row>
    <row r="3" spans="2:15" s="1" customFormat="1" ht="17.100000000000001" customHeight="1" x14ac:dyDescent="0.2">
      <c r="B3" s="47"/>
      <c r="C3" s="193" t="s">
        <v>376</v>
      </c>
      <c r="D3" s="193"/>
      <c r="E3" s="193"/>
      <c r="F3" s="193"/>
      <c r="G3" s="193"/>
      <c r="H3" s="194"/>
      <c r="K3" s="25"/>
      <c r="M3" s="225"/>
      <c r="N3" s="226" t="s">
        <v>35</v>
      </c>
      <c r="O3" s="227" t="s">
        <v>327</v>
      </c>
    </row>
    <row r="4" spans="2:15" s="1" customFormat="1" ht="17.100000000000001" customHeight="1" thickBot="1" x14ac:dyDescent="0.25">
      <c r="B4" s="195"/>
      <c r="C4" s="196"/>
      <c r="D4" s="196"/>
      <c r="E4" s="196"/>
      <c r="F4" s="196"/>
      <c r="G4" s="196"/>
      <c r="H4" s="197"/>
      <c r="K4" s="25"/>
      <c r="M4" s="228"/>
      <c r="N4" s="224" t="s">
        <v>35</v>
      </c>
      <c r="O4" s="229" t="s">
        <v>328</v>
      </c>
    </row>
    <row r="5" spans="2:15" s="1" customFormat="1" ht="14.1" customHeight="1" thickBot="1" x14ac:dyDescent="0.25">
      <c r="M5" s="228"/>
      <c r="N5" s="224" t="s">
        <v>35</v>
      </c>
      <c r="O5" s="229" t="s">
        <v>360</v>
      </c>
    </row>
    <row r="6" spans="2:15" s="1" customFormat="1" ht="13.5" thickBot="1" x14ac:dyDescent="0.25">
      <c r="B6" s="189"/>
      <c r="C6" s="191"/>
      <c r="D6" s="191"/>
      <c r="E6" s="191"/>
      <c r="F6" s="11"/>
      <c r="G6" s="11"/>
      <c r="H6" s="20"/>
      <c r="M6" s="230"/>
      <c r="N6" s="231"/>
      <c r="O6" s="232" t="s">
        <v>118</v>
      </c>
    </row>
    <row r="7" spans="2:15" s="186" customFormat="1" ht="35.1" customHeight="1" thickBot="1" x14ac:dyDescent="0.25">
      <c r="B7" s="201"/>
      <c r="C7" s="216" t="s">
        <v>330</v>
      </c>
      <c r="D7" s="803" t="s">
        <v>110</v>
      </c>
      <c r="E7" s="804"/>
      <c r="F7" s="217" t="s">
        <v>116</v>
      </c>
      <c r="G7" s="217" t="s">
        <v>184</v>
      </c>
      <c r="H7" s="21"/>
    </row>
    <row r="8" spans="2:15" ht="33.950000000000003" customHeight="1" thickBot="1" x14ac:dyDescent="0.25">
      <c r="B8" s="204">
        <f>'Unos podataka'!F14</f>
        <v>1</v>
      </c>
      <c r="C8" s="207" t="str">
        <f>'Unos podataka'!G14</f>
        <v># 1</v>
      </c>
      <c r="D8" s="805">
        <f>IF(B8&lt;&gt;"",'Unos podataka'!H14,"")</f>
        <v>0</v>
      </c>
      <c r="E8" s="802"/>
      <c r="F8" s="635" t="s">
        <v>118</v>
      </c>
      <c r="G8" s="233" t="str">
        <f>IF(F8="","","***")</f>
        <v>***</v>
      </c>
      <c r="H8" s="254">
        <f>IF(F8=$O$6,1,0)</f>
        <v>1</v>
      </c>
    </row>
    <row r="9" spans="2:15" ht="33.950000000000003" customHeight="1" thickBot="1" x14ac:dyDescent="0.25">
      <c r="B9" s="204">
        <f>'Unos podataka'!F15</f>
        <v>1</v>
      </c>
      <c r="C9" s="207" t="str">
        <f>'Unos podataka'!G15</f>
        <v># 2</v>
      </c>
      <c r="D9" s="805">
        <f>IF(B9&lt;&gt;"",'Unos podataka'!H15,"")</f>
        <v>0</v>
      </c>
      <c r="E9" s="802"/>
      <c r="F9" s="635" t="s">
        <v>118</v>
      </c>
      <c r="G9" s="233" t="str">
        <f t="shared" ref="G9:G12" si="0">IF(F9="","","***")</f>
        <v>***</v>
      </c>
      <c r="H9" s="254">
        <f t="shared" ref="H9:H12" si="1">IF(F9=$O$6,1,0)</f>
        <v>1</v>
      </c>
    </row>
    <row r="10" spans="2:15" ht="33.950000000000003" customHeight="1" thickBot="1" x14ac:dyDescent="0.25">
      <c r="B10" s="204" t="str">
        <f>'Unos podataka'!F16</f>
        <v/>
      </c>
      <c r="C10" s="207" t="str">
        <f>'Unos podataka'!G16</f>
        <v/>
      </c>
      <c r="D10" s="805" t="str">
        <f>IF(B10&lt;&gt;"",'Unos podataka'!H16,"")</f>
        <v/>
      </c>
      <c r="E10" s="802"/>
      <c r="F10" s="635" t="s">
        <v>59</v>
      </c>
      <c r="G10" s="233" t="str">
        <f t="shared" si="0"/>
        <v>***</v>
      </c>
      <c r="H10" s="254">
        <f t="shared" si="1"/>
        <v>0</v>
      </c>
    </row>
    <row r="11" spans="2:15" ht="33.950000000000003" customHeight="1" thickBot="1" x14ac:dyDescent="0.25">
      <c r="B11" s="204" t="str">
        <f>'Unos podataka'!F17</f>
        <v/>
      </c>
      <c r="C11" s="368" t="str">
        <f>'Unos podataka'!G17</f>
        <v/>
      </c>
      <c r="D11" s="805" t="str">
        <f>IF(B11&lt;&gt;"",'Unos podataka'!H17,"")</f>
        <v/>
      </c>
      <c r="E11" s="802"/>
      <c r="F11" s="635" t="s">
        <v>59</v>
      </c>
      <c r="G11" s="233" t="str">
        <f t="shared" si="0"/>
        <v>***</v>
      </c>
      <c r="H11" s="254">
        <f t="shared" si="1"/>
        <v>0</v>
      </c>
    </row>
    <row r="12" spans="2:15" ht="33.950000000000003" customHeight="1" thickBot="1" x14ac:dyDescent="0.25">
      <c r="B12" s="204" t="str">
        <f>'Unos podataka'!F18</f>
        <v/>
      </c>
      <c r="C12" s="629" t="str">
        <f>'Unos podataka'!G18</f>
        <v/>
      </c>
      <c r="D12" s="802" t="str">
        <f>IF(B12&lt;&gt;"",'Unos podataka'!H18,"")</f>
        <v/>
      </c>
      <c r="E12" s="802"/>
      <c r="F12" s="635" t="s">
        <v>59</v>
      </c>
      <c r="G12" s="631" t="str">
        <f t="shared" si="0"/>
        <v>***</v>
      </c>
      <c r="H12" s="254">
        <f t="shared" si="1"/>
        <v>0</v>
      </c>
    </row>
    <row r="13" spans="2:15" ht="14.1" customHeight="1" thickBot="1" x14ac:dyDescent="0.25">
      <c r="B13" s="211"/>
      <c r="C13" s="51"/>
      <c r="D13" s="51"/>
      <c r="E13" s="51"/>
      <c r="F13" s="51"/>
      <c r="G13" s="51"/>
      <c r="H13" s="212"/>
    </row>
    <row r="14" spans="2:15" ht="15.75" thickBot="1" x14ac:dyDescent="0.25"/>
    <row r="15" spans="2:15" x14ac:dyDescent="0.2">
      <c r="B15" s="249"/>
      <c r="C15" s="250"/>
      <c r="D15" s="250"/>
      <c r="E15" s="250"/>
      <c r="F15" s="250"/>
      <c r="G15" s="250"/>
      <c r="H15" s="251"/>
    </row>
    <row r="16" spans="2:15" ht="18" x14ac:dyDescent="0.25">
      <c r="B16" s="45"/>
      <c r="C16" s="236" t="s">
        <v>38</v>
      </c>
      <c r="D16" s="46"/>
      <c r="E16" s="46"/>
      <c r="F16" s="46"/>
      <c r="G16" s="46"/>
      <c r="H16" s="49"/>
      <c r="M16" s="208"/>
    </row>
    <row r="17" spans="2:8" ht="15.75" thickBot="1" x14ac:dyDescent="0.25">
      <c r="B17" s="45"/>
      <c r="C17" s="46"/>
      <c r="D17" s="46"/>
      <c r="E17" s="46"/>
      <c r="F17" s="46"/>
      <c r="G17" s="46"/>
      <c r="H17" s="49"/>
    </row>
    <row r="18" spans="2:8" ht="15.95" customHeight="1" x14ac:dyDescent="0.2">
      <c r="B18" s="45"/>
      <c r="C18" s="806" t="s">
        <v>378</v>
      </c>
      <c r="D18" s="807"/>
      <c r="E18" s="812" t="s">
        <v>381</v>
      </c>
      <c r="F18" s="812"/>
      <c r="G18" s="813"/>
      <c r="H18" s="252"/>
    </row>
    <row r="19" spans="2:8" x14ac:dyDescent="0.2">
      <c r="B19" s="45"/>
      <c r="C19" s="808"/>
      <c r="D19" s="809"/>
      <c r="E19" s="814"/>
      <c r="F19" s="814"/>
      <c r="G19" s="815"/>
      <c r="H19" s="252"/>
    </row>
    <row r="20" spans="2:8" x14ac:dyDescent="0.2">
      <c r="B20" s="45"/>
      <c r="C20" s="808"/>
      <c r="D20" s="809"/>
      <c r="E20" s="814"/>
      <c r="F20" s="814"/>
      <c r="G20" s="815"/>
      <c r="H20" s="252"/>
    </row>
    <row r="21" spans="2:8" x14ac:dyDescent="0.2">
      <c r="B21" s="45"/>
      <c r="C21" s="808"/>
      <c r="D21" s="809"/>
      <c r="E21" s="814"/>
      <c r="F21" s="814"/>
      <c r="G21" s="815"/>
      <c r="H21" s="252"/>
    </row>
    <row r="22" spans="2:8" ht="15.75" thickBot="1" x14ac:dyDescent="0.25">
      <c r="B22" s="45"/>
      <c r="C22" s="810"/>
      <c r="D22" s="811"/>
      <c r="E22" s="816"/>
      <c r="F22" s="816"/>
      <c r="G22" s="817"/>
      <c r="H22" s="252"/>
    </row>
    <row r="23" spans="2:8" ht="16.5" thickBot="1" x14ac:dyDescent="0.3">
      <c r="B23" s="45"/>
      <c r="C23" s="253"/>
      <c r="D23" s="46"/>
      <c r="E23" s="46"/>
      <c r="F23" s="46"/>
      <c r="G23" s="46"/>
      <c r="H23" s="49"/>
    </row>
    <row r="24" spans="2:8" ht="15.95" customHeight="1" x14ac:dyDescent="0.2">
      <c r="B24" s="45"/>
      <c r="C24" s="806" t="s">
        <v>379</v>
      </c>
      <c r="D24" s="807"/>
      <c r="E24" s="812" t="s">
        <v>382</v>
      </c>
      <c r="F24" s="812"/>
      <c r="G24" s="813"/>
      <c r="H24" s="252"/>
    </row>
    <row r="25" spans="2:8" x14ac:dyDescent="0.2">
      <c r="B25" s="45"/>
      <c r="C25" s="808"/>
      <c r="D25" s="809"/>
      <c r="E25" s="814"/>
      <c r="F25" s="814"/>
      <c r="G25" s="815"/>
      <c r="H25" s="252"/>
    </row>
    <row r="26" spans="2:8" x14ac:dyDescent="0.2">
      <c r="B26" s="45"/>
      <c r="C26" s="808"/>
      <c r="D26" s="809"/>
      <c r="E26" s="814"/>
      <c r="F26" s="814"/>
      <c r="G26" s="815"/>
      <c r="H26" s="252"/>
    </row>
    <row r="27" spans="2:8" x14ac:dyDescent="0.2">
      <c r="B27" s="45"/>
      <c r="C27" s="808"/>
      <c r="D27" s="809"/>
      <c r="E27" s="814"/>
      <c r="F27" s="814"/>
      <c r="G27" s="815"/>
      <c r="H27" s="252"/>
    </row>
    <row r="28" spans="2:8" x14ac:dyDescent="0.2">
      <c r="B28" s="45"/>
      <c r="C28" s="808"/>
      <c r="D28" s="809"/>
      <c r="E28" s="814"/>
      <c r="F28" s="814"/>
      <c r="G28" s="815"/>
      <c r="H28" s="252"/>
    </row>
    <row r="29" spans="2:8" ht="15.75" thickBot="1" x14ac:dyDescent="0.25">
      <c r="B29" s="45"/>
      <c r="C29" s="810"/>
      <c r="D29" s="811"/>
      <c r="E29" s="816"/>
      <c r="F29" s="816"/>
      <c r="G29" s="817"/>
      <c r="H29" s="49"/>
    </row>
    <row r="30" spans="2:8" ht="15.75" thickBot="1" x14ac:dyDescent="0.25">
      <c r="B30" s="45"/>
      <c r="C30" s="46"/>
      <c r="D30" s="46"/>
      <c r="E30" s="46"/>
      <c r="F30" s="46"/>
      <c r="G30" s="46"/>
      <c r="H30" s="49"/>
    </row>
    <row r="31" spans="2:8" ht="15.95" customHeight="1" x14ac:dyDescent="0.2">
      <c r="B31" s="45"/>
      <c r="C31" s="806" t="s">
        <v>380</v>
      </c>
      <c r="D31" s="807"/>
      <c r="E31" s="812" t="s">
        <v>383</v>
      </c>
      <c r="F31" s="812"/>
      <c r="G31" s="813"/>
      <c r="H31" s="252"/>
    </row>
    <row r="32" spans="2:8" ht="15.75" thickBot="1" x14ac:dyDescent="0.25">
      <c r="B32" s="45"/>
      <c r="C32" s="810"/>
      <c r="D32" s="811"/>
      <c r="E32" s="816"/>
      <c r="F32" s="816"/>
      <c r="G32" s="817"/>
      <c r="H32" s="252"/>
    </row>
    <row r="33" spans="2:8" ht="15.75" thickBot="1" x14ac:dyDescent="0.25">
      <c r="B33" s="211"/>
      <c r="C33" s="51"/>
      <c r="D33" s="51"/>
      <c r="E33" s="51"/>
      <c r="F33" s="51"/>
      <c r="G33" s="51"/>
      <c r="H33" s="212"/>
    </row>
    <row r="34" spans="2:8" ht="15.75" thickBot="1" x14ac:dyDescent="0.25"/>
    <row r="35" spans="2:8" x14ac:dyDescent="0.2">
      <c r="B35" s="249"/>
      <c r="C35" s="250"/>
      <c r="D35" s="250"/>
      <c r="E35" s="250"/>
      <c r="F35" s="250"/>
      <c r="G35" s="250"/>
      <c r="H35" s="251"/>
    </row>
    <row r="36" spans="2:8" ht="23.25" x14ac:dyDescent="0.35">
      <c r="B36" s="45"/>
      <c r="C36" s="796" t="str">
        <f>IF(C8="","",IF(SUMPRODUCT(B8:B12,H8:H12)&lt;&gt;0,"Ocjena kriterija nije završena!", "Sva vodna tijela su ocijenjena!"))</f>
        <v>Ocjena kriterija nije završena!</v>
      </c>
      <c r="D36" s="796"/>
      <c r="E36" s="796"/>
      <c r="F36" s="796"/>
      <c r="G36" s="674">
        <f>IF(C8="",0,IF(SUMPRODUCT(B8:B12,H8:H12)&lt;&gt;0,0,1))</f>
        <v>0</v>
      </c>
      <c r="H36" s="49"/>
    </row>
    <row r="37" spans="2:8" ht="15.75" thickBot="1" x14ac:dyDescent="0.25">
      <c r="B37" s="211"/>
      <c r="C37" s="51"/>
      <c r="D37" s="51"/>
      <c r="E37" s="51"/>
      <c r="F37" s="51"/>
      <c r="G37" s="51"/>
      <c r="H37" s="212"/>
    </row>
  </sheetData>
  <mergeCells count="13">
    <mergeCell ref="D12:E12"/>
    <mergeCell ref="D7:E7"/>
    <mergeCell ref="D8:E8"/>
    <mergeCell ref="D9:E9"/>
    <mergeCell ref="D10:E10"/>
    <mergeCell ref="D11:E11"/>
    <mergeCell ref="C36:F36"/>
    <mergeCell ref="C18:D22"/>
    <mergeCell ref="C24:D29"/>
    <mergeCell ref="C31:D32"/>
    <mergeCell ref="E18:G22"/>
    <mergeCell ref="E24:G29"/>
    <mergeCell ref="E31:G32"/>
  </mergeCells>
  <conditionalFormatting sqref="C8:C12">
    <cfRule type="expression" dxfId="145" priority="14">
      <formula>$C8="n.a."</formula>
    </cfRule>
  </conditionalFormatting>
  <conditionalFormatting sqref="F8:F12">
    <cfRule type="expression" dxfId="144" priority="11">
      <formula>B8&lt;&gt;1</formula>
    </cfRule>
  </conditionalFormatting>
  <conditionalFormatting sqref="G8:G12">
    <cfRule type="expression" dxfId="143" priority="8">
      <formula>B8=1</formula>
    </cfRule>
  </conditionalFormatting>
  <conditionalFormatting sqref="C36">
    <cfRule type="expression" dxfId="142" priority="1">
      <formula>SUMPRODUCT($B$8:$B$12,$H$8:$H$12)=0</formula>
    </cfRule>
  </conditionalFormatting>
  <dataValidations count="2">
    <dataValidation type="list" allowBlank="1" showInputMessage="1" showErrorMessage="1" error="Wrong input!" prompt="Please select sensitivity based on your criterion assessment" sqref="F10:F12">
      <formula1>$O$3:$O$6</formula1>
    </dataValidation>
    <dataValidation type="list" allowBlank="1" showInputMessage="1" showErrorMessage="1" error="Wrong input!" prompt="Izaberite stepen osjetljivosti " sqref="F8 F9">
      <formula1>$O$3:$O$6</formula1>
    </dataValidation>
  </dataValidation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showGridLines="0" workbookViewId="0">
      <selection activeCell="M5" sqref="M5"/>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8" width="10.625" style="80" customWidth="1"/>
    <col min="9" max="9" width="4.125" style="80" customWidth="1"/>
    <col min="10" max="12" width="10.875" style="80"/>
    <col min="13" max="13" width="58.625" style="80" customWidth="1" outlineLevel="1"/>
    <col min="14" max="14" width="10.875" style="80" customWidth="1" outlineLevel="1"/>
    <col min="15" max="15" width="21.875" style="80" customWidth="1" outlineLevel="1"/>
    <col min="16" max="16" width="12.125" style="80" customWidth="1" outlineLevel="1"/>
    <col min="17" max="16384" width="10.875" style="80"/>
  </cols>
  <sheetData>
    <row r="1" spans="2:16" s="1" customFormat="1" ht="17.100000000000001" customHeight="1" thickBot="1" x14ac:dyDescent="0.25">
      <c r="C1" s="24"/>
      <c r="D1" s="24"/>
      <c r="E1" s="24"/>
      <c r="G1" s="25"/>
      <c r="H1" s="25"/>
    </row>
    <row r="2" spans="2:16" s="1" customFormat="1" ht="14.1" customHeight="1" thickBot="1" x14ac:dyDescent="0.25">
      <c r="B2" s="189"/>
      <c r="C2" s="190"/>
      <c r="D2" s="190"/>
      <c r="E2" s="190"/>
      <c r="F2" s="191"/>
      <c r="G2" s="191"/>
      <c r="H2" s="191"/>
      <c r="I2" s="192"/>
      <c r="K2" s="25"/>
      <c r="M2" s="189" t="s">
        <v>385</v>
      </c>
      <c r="N2" s="191"/>
      <c r="O2" s="191"/>
      <c r="P2" s="192"/>
    </row>
    <row r="3" spans="2:16" s="1" customFormat="1" ht="17.100000000000001" customHeight="1" x14ac:dyDescent="0.2">
      <c r="B3" s="47"/>
      <c r="C3" s="193" t="s">
        <v>384</v>
      </c>
      <c r="D3" s="193"/>
      <c r="E3" s="193"/>
      <c r="F3" s="193"/>
      <c r="G3" s="193"/>
      <c r="H3" s="193"/>
      <c r="I3" s="194"/>
      <c r="K3" s="25"/>
      <c r="M3" s="225" t="s">
        <v>387</v>
      </c>
      <c r="N3" s="226">
        <v>1</v>
      </c>
      <c r="O3" s="226" t="s">
        <v>2</v>
      </c>
      <c r="P3" s="227" t="s">
        <v>327</v>
      </c>
    </row>
    <row r="4" spans="2:16" s="1" customFormat="1" ht="17.100000000000001" customHeight="1" thickBot="1" x14ac:dyDescent="0.25">
      <c r="B4" s="195"/>
      <c r="C4" s="196"/>
      <c r="D4" s="196"/>
      <c r="E4" s="196"/>
      <c r="F4" s="196"/>
      <c r="G4" s="196"/>
      <c r="H4" s="196"/>
      <c r="I4" s="197"/>
      <c r="K4" s="25"/>
      <c r="M4" s="228" t="s">
        <v>388</v>
      </c>
      <c r="N4" s="224">
        <v>2</v>
      </c>
      <c r="O4" s="224" t="s">
        <v>2</v>
      </c>
      <c r="P4" s="229" t="s">
        <v>328</v>
      </c>
    </row>
    <row r="5" spans="2:16" s="1" customFormat="1" ht="14.1" customHeight="1" thickBot="1" x14ac:dyDescent="0.25">
      <c r="M5" s="228" t="s">
        <v>389</v>
      </c>
      <c r="N5" s="224">
        <v>3</v>
      </c>
      <c r="O5" s="224" t="s">
        <v>2</v>
      </c>
      <c r="P5" s="229" t="s">
        <v>360</v>
      </c>
    </row>
    <row r="6" spans="2:16" s="1" customFormat="1" ht="13.5" thickBot="1" x14ac:dyDescent="0.25">
      <c r="B6" s="189"/>
      <c r="C6" s="191"/>
      <c r="D6" s="191"/>
      <c r="E6" s="191"/>
      <c r="F6" s="11"/>
      <c r="G6" s="11"/>
      <c r="H6" s="11"/>
      <c r="I6" s="20"/>
      <c r="M6" s="230"/>
      <c r="N6" s="231">
        <v>4</v>
      </c>
      <c r="O6" s="231"/>
      <c r="P6" s="232"/>
    </row>
    <row r="7" spans="2:16" s="186" customFormat="1" ht="35.1" customHeight="1" thickBot="1" x14ac:dyDescent="0.25">
      <c r="B7" s="201"/>
      <c r="C7" s="216" t="s">
        <v>330</v>
      </c>
      <c r="D7" s="803" t="s">
        <v>110</v>
      </c>
      <c r="E7" s="804"/>
      <c r="F7" s="216" t="s">
        <v>386</v>
      </c>
      <c r="G7" s="217" t="s">
        <v>116</v>
      </c>
      <c r="H7" s="216" t="s">
        <v>184</v>
      </c>
      <c r="I7" s="21"/>
    </row>
    <row r="8" spans="2:16" ht="33.950000000000003" customHeight="1" thickBot="1" x14ac:dyDescent="0.25">
      <c r="B8" s="204">
        <f>'Unos podataka'!F14</f>
        <v>1</v>
      </c>
      <c r="C8" s="207" t="str">
        <f>'Unos podataka'!G14</f>
        <v># 1</v>
      </c>
      <c r="D8" s="805">
        <f>IF(B8&lt;&gt;"",'Unos podataka'!H14,"")</f>
        <v>0</v>
      </c>
      <c r="E8" s="802"/>
      <c r="F8" s="633"/>
      <c r="G8" s="218" t="str">
        <f>IF(F8="","",VLOOKUP(MATCH(F8,$M$3:$M$5,0),$N$3:$P$5,3))</f>
        <v/>
      </c>
      <c r="H8" s="233" t="str">
        <f>IF(F8="","","*")</f>
        <v/>
      </c>
      <c r="I8" s="254">
        <f>IF(F8="",1,0)</f>
        <v>1</v>
      </c>
    </row>
    <row r="9" spans="2:16" ht="33.950000000000003" customHeight="1" thickBot="1" x14ac:dyDescent="0.25">
      <c r="B9" s="204">
        <f>'Unos podataka'!F15</f>
        <v>1</v>
      </c>
      <c r="C9" s="207" t="str">
        <f>'Unos podataka'!G15</f>
        <v># 2</v>
      </c>
      <c r="D9" s="805">
        <f>IF(B9&lt;&gt;"",'Unos podataka'!H15,"")</f>
        <v>0</v>
      </c>
      <c r="E9" s="802"/>
      <c r="F9" s="633"/>
      <c r="G9" s="218" t="str">
        <f>IF(F9="","",VLOOKUP(MATCH(F9,$M$3:$M$5,0),$N$3:$P$5,3))</f>
        <v/>
      </c>
      <c r="H9" s="233" t="str">
        <f>IF(F9="","","*")</f>
        <v/>
      </c>
      <c r="I9" s="254">
        <f>IF(F9="",1,0)</f>
        <v>1</v>
      </c>
    </row>
    <row r="10" spans="2:16" ht="33.950000000000003" customHeight="1" thickBot="1" x14ac:dyDescent="0.25">
      <c r="B10" s="204" t="str">
        <f>'Unos podataka'!F16</f>
        <v/>
      </c>
      <c r="C10" s="207" t="str">
        <f>'Unos podataka'!G16</f>
        <v/>
      </c>
      <c r="D10" s="805" t="str">
        <f>IF(B10&lt;&gt;"",'Unos podataka'!H16,"")</f>
        <v/>
      </c>
      <c r="E10" s="802"/>
      <c r="F10" s="633"/>
      <c r="G10" s="218" t="str">
        <f>IF(F10="","",VLOOKUP(MATCH(F10,$M$3:$M$5,0),$N$3:$P$5,3))</f>
        <v/>
      </c>
      <c r="H10" s="233" t="str">
        <f>IF(F10="","","*")</f>
        <v/>
      </c>
      <c r="I10" s="254">
        <f>IF(F10="",1,0)</f>
        <v>1</v>
      </c>
    </row>
    <row r="11" spans="2:16" ht="33.950000000000003" customHeight="1" thickBot="1" x14ac:dyDescent="0.25">
      <c r="B11" s="204" t="str">
        <f>'Unos podataka'!F17</f>
        <v/>
      </c>
      <c r="C11" s="368" t="str">
        <f>'Unos podataka'!G17</f>
        <v/>
      </c>
      <c r="D11" s="805" t="str">
        <f>IF(B11&lt;&gt;"",'Unos podataka'!H17,"")</f>
        <v/>
      </c>
      <c r="E11" s="802"/>
      <c r="F11" s="633"/>
      <c r="G11" s="218" t="str">
        <f>IF(F11="","",VLOOKUP(MATCH(F11,$M$3:$M$5,0),$N$3:$P$5,3))</f>
        <v/>
      </c>
      <c r="H11" s="233" t="str">
        <f>IF(F11="","","*")</f>
        <v/>
      </c>
      <c r="I11" s="254">
        <f>IF(F11="",1,0)</f>
        <v>1</v>
      </c>
    </row>
    <row r="12" spans="2:16" ht="33.950000000000003" customHeight="1" thickBot="1" x14ac:dyDescent="0.25">
      <c r="B12" s="204" t="str">
        <f>'Unos podataka'!F18</f>
        <v/>
      </c>
      <c r="C12" s="629" t="str">
        <f>'Unos podataka'!G18</f>
        <v/>
      </c>
      <c r="D12" s="802" t="str">
        <f>IF(B12&lt;&gt;"",'Unos podataka'!H18,"")</f>
        <v/>
      </c>
      <c r="E12" s="802"/>
      <c r="F12" s="633"/>
      <c r="G12" s="630" t="str">
        <f>IF(F12="","",VLOOKUP(MATCH(F12,$M$3:$M$5,0),$N$3:$P$5,3))</f>
        <v/>
      </c>
      <c r="H12" s="634" t="str">
        <f>IF(F12="","","*")</f>
        <v/>
      </c>
      <c r="I12" s="254">
        <f>IF(F12="",1,0)</f>
        <v>1</v>
      </c>
    </row>
    <row r="13" spans="2:16" ht="14.1" customHeight="1" thickBot="1" x14ac:dyDescent="0.25">
      <c r="B13" s="211"/>
      <c r="C13" s="51"/>
      <c r="D13" s="51"/>
      <c r="E13" s="51"/>
      <c r="F13" s="51"/>
      <c r="G13" s="51"/>
      <c r="H13" s="51"/>
      <c r="I13" s="212"/>
    </row>
    <row r="14" spans="2:16" ht="15.75" thickBot="1" x14ac:dyDescent="0.25"/>
    <row r="15" spans="2:16" x14ac:dyDescent="0.2">
      <c r="B15" s="249"/>
      <c r="C15" s="250"/>
      <c r="D15" s="250"/>
      <c r="E15" s="250"/>
      <c r="F15" s="250"/>
      <c r="G15" s="250"/>
      <c r="H15" s="250"/>
      <c r="I15" s="251"/>
    </row>
    <row r="16" spans="2:16" ht="23.25" x14ac:dyDescent="0.35">
      <c r="B16" s="45"/>
      <c r="C16" s="796" t="str">
        <f>IF(C8="","",IF(SUMPRODUCT(B8:B12,I8:I12)&lt;&gt;0,"Ocjena kriterija nije završena!", "Sva vodna tijela su ocjenjena!"))</f>
        <v>Ocjena kriterija nije završena!</v>
      </c>
      <c r="D16" s="796"/>
      <c r="E16" s="796"/>
      <c r="F16" s="796"/>
      <c r="G16" s="796"/>
      <c r="H16" s="674">
        <f>IF(C8="",0,IF(SUMPRODUCT(B8:B12,I8:I12)&lt;&gt;0,0,1))</f>
        <v>0</v>
      </c>
      <c r="I16" s="49"/>
      <c r="M16" s="208"/>
    </row>
    <row r="17" spans="2:9" ht="15.75" thickBot="1" x14ac:dyDescent="0.25">
      <c r="B17" s="211"/>
      <c r="C17" s="51"/>
      <c r="D17" s="51"/>
      <c r="E17" s="51"/>
      <c r="F17" s="51"/>
      <c r="G17" s="51"/>
      <c r="H17" s="51"/>
      <c r="I17" s="212"/>
    </row>
  </sheetData>
  <dataConsolidate/>
  <mergeCells count="7">
    <mergeCell ref="D12:E12"/>
    <mergeCell ref="C16:G16"/>
    <mergeCell ref="D7:E7"/>
    <mergeCell ref="D8:E8"/>
    <mergeCell ref="D9:E9"/>
    <mergeCell ref="D10:E10"/>
    <mergeCell ref="D11:E11"/>
  </mergeCells>
  <conditionalFormatting sqref="C8:C12">
    <cfRule type="expression" dxfId="141" priority="14">
      <formula>$C8="n.a."</formula>
    </cfRule>
  </conditionalFormatting>
  <conditionalFormatting sqref="F8:F12">
    <cfRule type="expression" dxfId="140" priority="12">
      <formula>B8&lt;&gt;1</formula>
    </cfRule>
  </conditionalFormatting>
  <conditionalFormatting sqref="G8:G12">
    <cfRule type="expression" dxfId="139" priority="11">
      <formula>B8&lt;&gt;1</formula>
    </cfRule>
  </conditionalFormatting>
  <conditionalFormatting sqref="H8">
    <cfRule type="expression" dxfId="138" priority="8">
      <formula>B8=1</formula>
    </cfRule>
  </conditionalFormatting>
  <conditionalFormatting sqref="C16">
    <cfRule type="expression" dxfId="137" priority="5">
      <formula>SUMPRODUCT($B$8:$B$12,$I$8:$I$12)=0</formula>
    </cfRule>
  </conditionalFormatting>
  <conditionalFormatting sqref="H9">
    <cfRule type="expression" dxfId="136" priority="4">
      <formula>B9=1</formula>
    </cfRule>
  </conditionalFormatting>
  <conditionalFormatting sqref="H10">
    <cfRule type="expression" dxfId="135" priority="3">
      <formula>B10=1</formula>
    </cfRule>
  </conditionalFormatting>
  <conditionalFormatting sqref="H11">
    <cfRule type="expression" dxfId="134" priority="2">
      <formula>B11=1</formula>
    </cfRule>
  </conditionalFormatting>
  <conditionalFormatting sqref="H12">
    <cfRule type="expression" dxfId="133" priority="1">
      <formula>B12=1</formula>
    </cfRule>
  </conditionalFormatting>
  <dataValidations count="2">
    <dataValidation type="list" allowBlank="1" showInputMessage="1" showErrorMessage="1" error="Wrong input!" prompt="Please select degree of thermal pollution of river stretch" sqref="F10:F12">
      <formula1>$M$3:$M$6</formula1>
    </dataValidation>
    <dataValidation type="list" allowBlank="1" showInputMessage="1" showErrorMessage="1" error="Wrong input!" prompt="Izaberite nivo toplotnog zagađenja vodnog tijela" sqref="F8 F9">
      <formula1>$M$3:$M$6</formula1>
    </dataValidation>
  </dataValidation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7"/>
  <sheetViews>
    <sheetView showGridLines="0" workbookViewId="0">
      <selection activeCell="F20" sqref="F20"/>
    </sheetView>
  </sheetViews>
  <sheetFormatPr defaultColWidth="10.875" defaultRowHeight="15" outlineLevelCol="1" x14ac:dyDescent="0.2"/>
  <cols>
    <col min="1" max="1" width="2.875" style="80" customWidth="1"/>
    <col min="2" max="2" width="4.125" style="80" customWidth="1"/>
    <col min="3" max="3" width="8.625" style="80" customWidth="1"/>
    <col min="4" max="4" width="10.875" style="80"/>
    <col min="5" max="5" width="12.375" style="80" customWidth="1"/>
    <col min="6" max="6" width="23" style="80" customWidth="1"/>
    <col min="7" max="7" width="17.5" style="80" customWidth="1"/>
    <col min="8" max="8" width="17.125" style="80" customWidth="1"/>
    <col min="9" max="9" width="10.875" style="80"/>
    <col min="10" max="10" width="4.125" style="80" customWidth="1"/>
    <col min="11" max="11" width="10.875" style="80"/>
    <col min="12" max="12" width="30.625" style="80" customWidth="1"/>
    <col min="13" max="13" width="10.5" style="80" customWidth="1"/>
    <col min="14" max="14" width="9.625" style="80" customWidth="1"/>
    <col min="15" max="15" width="16" style="80" customWidth="1" outlineLevel="1"/>
    <col min="16" max="17" width="10.875" style="80" customWidth="1" outlineLevel="1"/>
    <col min="18" max="18" width="2" style="80" customWidth="1" outlineLevel="1"/>
    <col min="19" max="19" width="15" style="80" customWidth="1" outlineLevel="1"/>
    <col min="20" max="20" width="12.875" style="80" customWidth="1" outlineLevel="1"/>
    <col min="21" max="21" width="14.375" style="80" customWidth="1" outlineLevel="1"/>
    <col min="22" max="22" width="7.625" style="80" customWidth="1" outlineLevel="1"/>
    <col min="23" max="23" width="5.125" style="80" customWidth="1" outlineLevel="1"/>
    <col min="24" max="16384" width="10.875" style="80"/>
  </cols>
  <sheetData>
    <row r="1" spans="2:23" s="1" customFormat="1" ht="17.100000000000001" customHeight="1" thickBot="1" x14ac:dyDescent="0.25">
      <c r="C1" s="24"/>
      <c r="D1" s="24"/>
      <c r="E1" s="24"/>
      <c r="G1" s="25"/>
      <c r="H1" s="25"/>
    </row>
    <row r="2" spans="2:23" s="1" customFormat="1" ht="14.1" customHeight="1" x14ac:dyDescent="0.2">
      <c r="B2" s="189"/>
      <c r="C2" s="190"/>
      <c r="D2" s="190"/>
      <c r="E2" s="190"/>
      <c r="F2" s="191"/>
      <c r="G2" s="191"/>
      <c r="H2" s="191"/>
      <c r="I2" s="191"/>
      <c r="J2" s="192"/>
    </row>
    <row r="3" spans="2:23" s="1" customFormat="1" ht="17.100000000000001" customHeight="1" x14ac:dyDescent="0.2">
      <c r="B3" s="47"/>
      <c r="C3" s="193" t="s">
        <v>390</v>
      </c>
      <c r="D3" s="193"/>
      <c r="E3" s="193"/>
      <c r="F3" s="193"/>
      <c r="G3" s="193"/>
      <c r="H3" s="193"/>
      <c r="I3" s="193"/>
      <c r="J3" s="194"/>
    </row>
    <row r="4" spans="2:23" s="1" customFormat="1" ht="17.100000000000001" customHeight="1" thickBot="1" x14ac:dyDescent="0.25">
      <c r="B4" s="195"/>
      <c r="C4" s="196"/>
      <c r="D4" s="196"/>
      <c r="E4" s="196"/>
      <c r="F4" s="196"/>
      <c r="G4" s="196"/>
      <c r="H4" s="196"/>
      <c r="I4" s="196"/>
      <c r="J4" s="197"/>
    </row>
    <row r="5" spans="2:23" s="1" customFormat="1" ht="14.1" customHeight="1" thickBot="1" x14ac:dyDescent="0.25">
      <c r="O5" s="235" t="s">
        <v>393</v>
      </c>
      <c r="P5" s="198"/>
      <c r="Q5" s="198"/>
      <c r="R5" s="198"/>
      <c r="S5" s="198"/>
      <c r="T5" s="198"/>
      <c r="U5" s="198"/>
      <c r="V5" s="198"/>
      <c r="W5" s="198"/>
    </row>
    <row r="6" spans="2:23" s="1" customFormat="1" ht="17.100000000000001" customHeight="1" thickBot="1" x14ac:dyDescent="0.25">
      <c r="B6" s="189"/>
      <c r="C6" s="191"/>
      <c r="D6" s="191"/>
      <c r="E6" s="191"/>
      <c r="F6" s="11"/>
      <c r="G6" s="11"/>
      <c r="H6" s="11"/>
      <c r="I6" s="11"/>
      <c r="J6" s="20"/>
      <c r="S6" s="818" t="s">
        <v>397</v>
      </c>
      <c r="T6" s="819"/>
      <c r="U6" s="819"/>
      <c r="V6" s="822"/>
      <c r="W6" s="823"/>
    </row>
    <row r="7" spans="2:23" s="186" customFormat="1" ht="35.1" customHeight="1" thickBot="1" x14ac:dyDescent="0.25">
      <c r="B7" s="201"/>
      <c r="C7" s="216" t="s">
        <v>337</v>
      </c>
      <c r="D7" s="803" t="s">
        <v>110</v>
      </c>
      <c r="E7" s="804"/>
      <c r="F7" s="216" t="s">
        <v>391</v>
      </c>
      <c r="G7" s="216" t="s">
        <v>392</v>
      </c>
      <c r="H7" s="217" t="s">
        <v>116</v>
      </c>
      <c r="I7" s="216" t="s">
        <v>184</v>
      </c>
      <c r="J7" s="21"/>
      <c r="L7" s="1"/>
      <c r="M7" s="1"/>
      <c r="N7" s="1"/>
      <c r="O7" s="261" t="s">
        <v>394</v>
      </c>
      <c r="P7" s="267" t="s">
        <v>395</v>
      </c>
      <c r="Q7" s="268" t="s">
        <v>396</v>
      </c>
      <c r="S7" s="275" t="s">
        <v>40</v>
      </c>
      <c r="T7" s="275" t="s">
        <v>41</v>
      </c>
      <c r="U7" s="276" t="s">
        <v>42</v>
      </c>
      <c r="V7" s="824"/>
      <c r="W7" s="825"/>
    </row>
    <row r="8" spans="2:23" ht="33.950000000000003" customHeight="1" thickBot="1" x14ac:dyDescent="0.25">
      <c r="B8" s="204">
        <f>'Unos podataka'!F14</f>
        <v>1</v>
      </c>
      <c r="C8" s="207" t="str">
        <f>'Unos podataka'!G14</f>
        <v># 1</v>
      </c>
      <c r="D8" s="805">
        <f>IF(B8&lt;&gt;"",'Unos podataka'!H14,"")</f>
        <v>0</v>
      </c>
      <c r="E8" s="802"/>
      <c r="F8" s="256">
        <f>'EV3 - Površina sliva'!F8</f>
        <v>0</v>
      </c>
      <c r="G8" s="633"/>
      <c r="H8" s="218" t="str">
        <f>IF(G8&lt;&gt;"",INDEX($S$9:$U$13,Q8,P8),"")</f>
        <v/>
      </c>
      <c r="I8" s="233" t="str">
        <f>IF(F8&lt;&gt;"","***","")</f>
        <v>***</v>
      </c>
      <c r="J8" s="254">
        <f>IF(G8="",1,0)</f>
        <v>1</v>
      </c>
      <c r="O8" s="262">
        <v>0</v>
      </c>
      <c r="P8" s="265">
        <f>MATCH(F8,$O$8:$O$10)</f>
        <v>1</v>
      </c>
      <c r="Q8" s="266">
        <f>MATCH(G8,$V$9:$V$13)</f>
        <v>1</v>
      </c>
      <c r="S8" s="273">
        <v>1</v>
      </c>
      <c r="T8" s="274">
        <v>2</v>
      </c>
      <c r="U8" s="277">
        <v>3</v>
      </c>
      <c r="V8" s="826"/>
      <c r="W8" s="827"/>
    </row>
    <row r="9" spans="2:23" ht="33.950000000000003" customHeight="1" thickBot="1" x14ac:dyDescent="0.25">
      <c r="B9" s="204">
        <f>'Unos podataka'!F15</f>
        <v>1</v>
      </c>
      <c r="C9" s="207" t="str">
        <f>'Unos podataka'!G15</f>
        <v># 2</v>
      </c>
      <c r="D9" s="805">
        <f>IF(B9&lt;&gt;"",'Unos podataka'!H15,"")</f>
        <v>0</v>
      </c>
      <c r="E9" s="802"/>
      <c r="F9" s="256">
        <f>'EV3 - Površina sliva'!F9</f>
        <v>0</v>
      </c>
      <c r="G9" s="633"/>
      <c r="H9" s="218" t="str">
        <f>IF(G9&lt;&gt;"",INDEX($S$9:$U$13,Q9,P9),"")</f>
        <v/>
      </c>
      <c r="I9" s="233" t="str">
        <f>IF(F9&lt;&gt;"","***","")</f>
        <v>***</v>
      </c>
      <c r="J9" s="254">
        <f>IF(G9="",1,0)</f>
        <v>1</v>
      </c>
      <c r="O9" s="263">
        <v>50</v>
      </c>
      <c r="P9" s="265">
        <f>MATCH(F9,$O$8:$O$10)</f>
        <v>1</v>
      </c>
      <c r="Q9" s="266">
        <f>MATCH(G9,$V$9:$V$13)</f>
        <v>1</v>
      </c>
      <c r="S9" s="702" t="s">
        <v>329</v>
      </c>
      <c r="T9" s="704" t="s">
        <v>329</v>
      </c>
      <c r="U9" s="703" t="s">
        <v>329</v>
      </c>
      <c r="V9" s="280">
        <v>0</v>
      </c>
      <c r="W9" s="820" t="s">
        <v>398</v>
      </c>
    </row>
    <row r="10" spans="2:23" ht="33.950000000000003" customHeight="1" thickBot="1" x14ac:dyDescent="0.25">
      <c r="B10" s="204" t="str">
        <f>'Unos podataka'!F16</f>
        <v/>
      </c>
      <c r="C10" s="207" t="str">
        <f>'Unos podataka'!G16</f>
        <v/>
      </c>
      <c r="D10" s="805" t="str">
        <f>IF(B10&lt;&gt;"",'Unos podataka'!H16,"")</f>
        <v/>
      </c>
      <c r="E10" s="802"/>
      <c r="F10" s="256">
        <f>'EV3 - Površina sliva'!F10</f>
        <v>0</v>
      </c>
      <c r="G10" s="633"/>
      <c r="H10" s="218" t="str">
        <f>IF(G10&lt;&gt;"",INDEX($S$9:$U$13,Q10,P10),"")</f>
        <v/>
      </c>
      <c r="I10" s="233" t="str">
        <f t="shared" ref="I10:I12" si="0">IF(F10&lt;&gt;"","***","")</f>
        <v>***</v>
      </c>
      <c r="J10" s="254">
        <f>IF(G10="",1,0)</f>
        <v>1</v>
      </c>
      <c r="O10" s="264">
        <v>100</v>
      </c>
      <c r="P10" s="265">
        <f>MATCH(F10,$O$8:$O$10)</f>
        <v>1</v>
      </c>
      <c r="Q10" s="266">
        <f>MATCH(G10,$V$9:$V$13)</f>
        <v>1</v>
      </c>
      <c r="S10" s="269" t="s">
        <v>328</v>
      </c>
      <c r="T10" s="704" t="s">
        <v>329</v>
      </c>
      <c r="U10" s="703" t="s">
        <v>329</v>
      </c>
      <c r="V10" s="281">
        <v>50</v>
      </c>
      <c r="W10" s="820"/>
    </row>
    <row r="11" spans="2:23" ht="33.950000000000003" customHeight="1" thickBot="1" x14ac:dyDescent="0.25">
      <c r="B11" s="204" t="str">
        <f>'Unos podataka'!F17</f>
        <v/>
      </c>
      <c r="C11" s="368" t="str">
        <f>'Unos podataka'!G17</f>
        <v/>
      </c>
      <c r="D11" s="805" t="str">
        <f>IF(B11&lt;&gt;"",'Unos podataka'!H17,"")</f>
        <v/>
      </c>
      <c r="E11" s="802"/>
      <c r="F11" s="256">
        <f>'EV3 - Površina sliva'!F11</f>
        <v>0</v>
      </c>
      <c r="G11" s="633"/>
      <c r="H11" s="218" t="str">
        <f>IF(G11&lt;&gt;"",INDEX($S$9:$U$13,Q11,P11),"")</f>
        <v/>
      </c>
      <c r="I11" s="233" t="str">
        <f t="shared" si="0"/>
        <v>***</v>
      </c>
      <c r="J11" s="254">
        <f>IF(G11="",1,0)</f>
        <v>1</v>
      </c>
      <c r="P11" s="265">
        <f>MATCH(F11,$O$8:$O$10)</f>
        <v>1</v>
      </c>
      <c r="Q11" s="266">
        <f>MATCH(G11,$V$9:$V$13)</f>
        <v>1</v>
      </c>
      <c r="S11" s="270" t="s">
        <v>327</v>
      </c>
      <c r="T11" s="259" t="s">
        <v>328</v>
      </c>
      <c r="U11" s="703" t="s">
        <v>329</v>
      </c>
      <c r="V11" s="281">
        <v>150</v>
      </c>
      <c r="W11" s="820"/>
    </row>
    <row r="12" spans="2:23" ht="33.950000000000003" customHeight="1" thickBot="1" x14ac:dyDescent="0.25">
      <c r="B12" s="204" t="str">
        <f>'Unos podataka'!F18</f>
        <v/>
      </c>
      <c r="C12" s="629" t="str">
        <f>'Unos podataka'!G18</f>
        <v/>
      </c>
      <c r="D12" s="802" t="str">
        <f>IF(B12&lt;&gt;"",'Unos podataka'!H18,"")</f>
        <v/>
      </c>
      <c r="E12" s="802"/>
      <c r="F12" s="256">
        <f>'EV3 - Površina sliva'!F12</f>
        <v>0</v>
      </c>
      <c r="G12" s="633"/>
      <c r="H12" s="218" t="str">
        <f>IF(G12&lt;&gt;"",INDEX($S$9:$U$13,Q12,P12),"")</f>
        <v/>
      </c>
      <c r="I12" s="631" t="str">
        <f t="shared" si="0"/>
        <v>***</v>
      </c>
      <c r="J12" s="254">
        <f>IF(G12="",1,0)</f>
        <v>1</v>
      </c>
      <c r="P12" s="257">
        <f>MATCH(F12,$O$8:$O$10)</f>
        <v>1</v>
      </c>
      <c r="Q12" s="258">
        <f>MATCH(G12,$V$9:$V$13)</f>
        <v>1</v>
      </c>
      <c r="S12" s="270" t="s">
        <v>327</v>
      </c>
      <c r="T12" s="260" t="s">
        <v>327</v>
      </c>
      <c r="U12" s="278" t="s">
        <v>328</v>
      </c>
      <c r="V12" s="281">
        <v>500</v>
      </c>
      <c r="W12" s="820"/>
    </row>
    <row r="13" spans="2:23" ht="15.75" thickBot="1" x14ac:dyDescent="0.25">
      <c r="B13" s="211"/>
      <c r="C13" s="51"/>
      <c r="D13" s="51"/>
      <c r="E13" s="51"/>
      <c r="F13" s="51"/>
      <c r="G13" s="51"/>
      <c r="H13" s="51"/>
      <c r="I13" s="51"/>
      <c r="J13" s="212"/>
      <c r="S13" s="271" t="s">
        <v>327</v>
      </c>
      <c r="T13" s="272" t="s">
        <v>327</v>
      </c>
      <c r="U13" s="279" t="s">
        <v>327</v>
      </c>
      <c r="V13" s="92">
        <v>1000</v>
      </c>
      <c r="W13" s="821"/>
    </row>
    <row r="14" spans="2:23" ht="15.75" thickBot="1" x14ac:dyDescent="0.25"/>
    <row r="15" spans="2:23" x14ac:dyDescent="0.2">
      <c r="B15" s="249"/>
      <c r="C15" s="250"/>
      <c r="D15" s="250"/>
      <c r="E15" s="250"/>
      <c r="F15" s="250"/>
      <c r="G15" s="250"/>
      <c r="H15" s="250"/>
      <c r="I15" s="250"/>
      <c r="J15" s="251"/>
    </row>
    <row r="16" spans="2:23" ht="23.25" x14ac:dyDescent="0.35">
      <c r="B16" s="45"/>
      <c r="C16" s="255" t="str">
        <f>IF(C8="","",IF(SUMPRODUCT(B8:B12,J8:J12)&lt;&gt;0,"Ocjenak riterija nije završena!", "Sva vodna tijela su ocijenjena!"))</f>
        <v>Ocjenak riterija nije završena!</v>
      </c>
      <c r="D16" s="255"/>
      <c r="E16" s="255"/>
      <c r="F16" s="255"/>
      <c r="G16" s="255"/>
      <c r="H16" s="255"/>
      <c r="I16" s="369">
        <f>IF(C8="",0,IF(SUMPRODUCT(B8:B12,J8:J12)&lt;&gt;0,0,1))</f>
        <v>0</v>
      </c>
      <c r="J16" s="49"/>
    </row>
    <row r="17" spans="2:10" ht="15.75" thickBot="1" x14ac:dyDescent="0.25">
      <c r="B17" s="211"/>
      <c r="C17" s="51"/>
      <c r="D17" s="51"/>
      <c r="E17" s="51"/>
      <c r="F17" s="51"/>
      <c r="G17" s="51"/>
      <c r="H17" s="51"/>
      <c r="I17" s="51"/>
      <c r="J17" s="212"/>
    </row>
  </sheetData>
  <mergeCells count="9">
    <mergeCell ref="S6:U6"/>
    <mergeCell ref="W9:W13"/>
    <mergeCell ref="V6:W8"/>
    <mergeCell ref="D7:E7"/>
    <mergeCell ref="D8:E8"/>
    <mergeCell ref="D9:E9"/>
    <mergeCell ref="D10:E10"/>
    <mergeCell ref="D11:E11"/>
    <mergeCell ref="D12:E12"/>
  </mergeCells>
  <phoneticPr fontId="15" type="noConversion"/>
  <conditionalFormatting sqref="C8:C12">
    <cfRule type="expression" dxfId="132" priority="20">
      <formula>$C8="n.a."</formula>
    </cfRule>
  </conditionalFormatting>
  <conditionalFormatting sqref="F8:F12">
    <cfRule type="expression" dxfId="131" priority="18">
      <formula>B8&lt;&gt;1</formula>
    </cfRule>
  </conditionalFormatting>
  <conditionalFormatting sqref="H8:H12">
    <cfRule type="expression" dxfId="130" priority="17">
      <formula>B8&lt;&gt;1</formula>
    </cfRule>
  </conditionalFormatting>
  <conditionalFormatting sqref="I9:I12">
    <cfRule type="expression" dxfId="129" priority="15">
      <formula>B9=1</formula>
    </cfRule>
  </conditionalFormatting>
  <conditionalFormatting sqref="I8">
    <cfRule type="expression" dxfId="128" priority="16">
      <formula>B8=1</formula>
    </cfRule>
  </conditionalFormatting>
  <conditionalFormatting sqref="G8">
    <cfRule type="expression" dxfId="127" priority="9">
      <formula>B8&lt;&gt;1</formula>
    </cfRule>
  </conditionalFormatting>
  <conditionalFormatting sqref="G9">
    <cfRule type="expression" dxfId="126" priority="4">
      <formula>B9&lt;&gt;1</formula>
    </cfRule>
  </conditionalFormatting>
  <conditionalFormatting sqref="C16">
    <cfRule type="expression" dxfId="125" priority="61">
      <formula>SUMPRODUCT($B$8:$B$12,$J$8:$J$12)=0</formula>
    </cfRule>
  </conditionalFormatting>
  <conditionalFormatting sqref="G10">
    <cfRule type="expression" dxfId="124" priority="3">
      <formula>B10&lt;&gt;1</formula>
    </cfRule>
  </conditionalFormatting>
  <conditionalFormatting sqref="G11">
    <cfRule type="expression" dxfId="123" priority="2">
      <formula>B11&lt;&gt;1</formula>
    </cfRule>
  </conditionalFormatting>
  <conditionalFormatting sqref="G12">
    <cfRule type="expression" dxfId="122" priority="1">
      <formula>B12&lt;&gt;1</formula>
    </cfRule>
  </conditionalFormatting>
  <dataValidations count="2">
    <dataValidation allowBlank="1" showInputMessage="1" showErrorMessage="1" prompt="Please enter length of reservoir in m" sqref="G10:G12"/>
    <dataValidation allowBlank="1" showInputMessage="1" showErrorMessage="1" prompt="Unesite veličinu akumulacije u m" sqref="G8 G9"/>
  </dataValidations>
  <pageMargins left="0.7" right="0.7" top="0.78740157499999996" bottom="0.78740157499999996"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27"/>
  <sheetViews>
    <sheetView showGridLines="0" topLeftCell="A4" workbookViewId="0">
      <selection activeCell="N18" sqref="N18"/>
    </sheetView>
  </sheetViews>
  <sheetFormatPr defaultColWidth="10.875" defaultRowHeight="15" x14ac:dyDescent="0.2"/>
  <cols>
    <col min="1" max="1" width="2.875" style="80" customWidth="1"/>
    <col min="2" max="2" width="4.125" style="80" customWidth="1"/>
    <col min="3" max="3" width="6.5" style="80" customWidth="1"/>
    <col min="4" max="4" width="10.875" style="80"/>
    <col min="5" max="5" width="12.375" style="80" customWidth="1"/>
    <col min="6" max="6" width="10.875" style="80"/>
    <col min="7" max="7" width="12" style="80" customWidth="1"/>
    <col min="8" max="8" width="10.875" style="80"/>
    <col min="9" max="9" width="4.125" style="80" customWidth="1"/>
    <col min="10" max="10" width="10.875" style="80"/>
    <col min="11" max="19" width="9.375" style="80" customWidth="1"/>
    <col min="20" max="34" width="10.875" style="80"/>
    <col min="35" max="44" width="5" style="80" customWidth="1"/>
    <col min="45" max="45" width="7.875" style="80" customWidth="1"/>
    <col min="46" max="16384" width="10.875" style="80"/>
  </cols>
  <sheetData>
    <row r="1" spans="2:55" s="1" customFormat="1" ht="17.100000000000001" customHeight="1" thickBot="1" x14ac:dyDescent="0.25">
      <c r="C1" s="24"/>
      <c r="D1" s="24"/>
      <c r="E1" s="24"/>
      <c r="G1" s="25"/>
      <c r="H1" s="25"/>
    </row>
    <row r="2" spans="2:55" s="1" customFormat="1" ht="14.1" customHeight="1" x14ac:dyDescent="0.2">
      <c r="B2" s="189"/>
      <c r="C2" s="190"/>
      <c r="D2" s="190"/>
      <c r="E2" s="190"/>
      <c r="F2" s="191"/>
      <c r="G2" s="191"/>
      <c r="H2" s="191"/>
      <c r="I2" s="192"/>
      <c r="J2" s="25"/>
      <c r="K2" s="25"/>
      <c r="L2" s="25"/>
      <c r="R2" s="25"/>
      <c r="S2" s="25"/>
    </row>
    <row r="3" spans="2:55" s="1" customFormat="1" ht="17.100000000000001" customHeight="1" x14ac:dyDescent="0.2">
      <c r="B3" s="47"/>
      <c r="C3" s="193" t="s">
        <v>399</v>
      </c>
      <c r="D3" s="193"/>
      <c r="E3" s="193"/>
      <c r="F3" s="193"/>
      <c r="G3" s="193"/>
      <c r="H3" s="193"/>
      <c r="I3" s="194"/>
      <c r="J3" s="25"/>
    </row>
    <row r="4" spans="2:55" s="1" customFormat="1" ht="17.100000000000001" customHeight="1" thickBot="1" x14ac:dyDescent="0.25">
      <c r="B4" s="195"/>
      <c r="C4" s="196"/>
      <c r="D4" s="196"/>
      <c r="E4" s="196"/>
      <c r="F4" s="196"/>
      <c r="G4" s="196"/>
      <c r="H4" s="196"/>
      <c r="I4" s="197"/>
      <c r="J4" s="25"/>
    </row>
    <row r="5" spans="2:55" s="1" customFormat="1" ht="14.1" customHeight="1" thickBot="1" x14ac:dyDescent="0.25"/>
    <row r="6" spans="2:55" s="1" customFormat="1" ht="14.1" customHeight="1" thickBot="1" x14ac:dyDescent="0.25">
      <c r="C6" s="24"/>
      <c r="D6" s="24"/>
      <c r="F6" s="25"/>
      <c r="AD6" s="828" t="s">
        <v>415</v>
      </c>
      <c r="AE6" s="829"/>
      <c r="AF6" s="829"/>
      <c r="AG6" s="829"/>
      <c r="AH6" s="830"/>
      <c r="AI6" s="828" t="s">
        <v>417</v>
      </c>
      <c r="AJ6" s="829"/>
      <c r="AK6" s="829"/>
      <c r="AL6" s="829"/>
      <c r="AM6" s="829"/>
      <c r="AN6" s="829"/>
      <c r="AO6" s="829"/>
      <c r="AP6" s="829"/>
      <c r="AQ6" s="829"/>
      <c r="AR6" s="829"/>
      <c r="AS6" s="830"/>
      <c r="AU6" s="834" t="s">
        <v>418</v>
      </c>
      <c r="AV6" s="835"/>
      <c r="AW6" s="835"/>
      <c r="AX6" s="835"/>
      <c r="AY6" s="835"/>
      <c r="AZ6" s="835"/>
      <c r="BA6" s="835"/>
      <c r="BB6" s="835"/>
      <c r="BC6" s="836"/>
    </row>
    <row r="7" spans="2:55" s="1" customFormat="1" ht="16.5" thickBot="1" x14ac:dyDescent="0.3">
      <c r="B7" s="189"/>
      <c r="C7" s="191"/>
      <c r="D7" s="191"/>
      <c r="E7" s="191"/>
      <c r="F7" s="11"/>
      <c r="G7" s="11"/>
      <c r="H7" s="11"/>
      <c r="I7" s="20"/>
      <c r="K7" s="297" t="s">
        <v>409</v>
      </c>
      <c r="T7" s="297" t="s">
        <v>410</v>
      </c>
      <c r="AD7" s="831"/>
      <c r="AE7" s="832"/>
      <c r="AF7" s="832"/>
      <c r="AG7" s="832"/>
      <c r="AH7" s="833"/>
      <c r="AI7" s="831"/>
      <c r="AJ7" s="832"/>
      <c r="AK7" s="832"/>
      <c r="AL7" s="832"/>
      <c r="AM7" s="832"/>
      <c r="AN7" s="832"/>
      <c r="AO7" s="832"/>
      <c r="AP7" s="832"/>
      <c r="AQ7" s="832"/>
      <c r="AR7" s="832"/>
      <c r="AS7" s="833"/>
      <c r="AU7" s="837"/>
      <c r="AV7" s="838"/>
      <c r="AW7" s="838"/>
      <c r="AX7" s="838"/>
      <c r="AY7" s="838"/>
      <c r="AZ7" s="838"/>
      <c r="BA7" s="838"/>
      <c r="BB7" s="838"/>
      <c r="BC7" s="839"/>
    </row>
    <row r="8" spans="2:55" s="186" customFormat="1" ht="183" customHeight="1" thickBot="1" x14ac:dyDescent="0.25">
      <c r="B8" s="201"/>
      <c r="C8" s="356" t="s">
        <v>330</v>
      </c>
      <c r="D8" s="846" t="s">
        <v>110</v>
      </c>
      <c r="E8" s="847"/>
      <c r="F8" s="356" t="s">
        <v>545</v>
      </c>
      <c r="G8" s="356" t="s">
        <v>400</v>
      </c>
      <c r="H8" s="356" t="s">
        <v>401</v>
      </c>
      <c r="I8" s="21"/>
      <c r="K8" s="286" t="s">
        <v>402</v>
      </c>
      <c r="L8" s="287" t="s">
        <v>403</v>
      </c>
      <c r="M8" s="287" t="s">
        <v>404</v>
      </c>
      <c r="N8" s="287" t="s">
        <v>346</v>
      </c>
      <c r="O8" s="287" t="s">
        <v>347</v>
      </c>
      <c r="P8" s="287" t="s">
        <v>405</v>
      </c>
      <c r="Q8" s="287" t="s">
        <v>406</v>
      </c>
      <c r="R8" s="287" t="s">
        <v>407</v>
      </c>
      <c r="S8" s="288" t="s">
        <v>398</v>
      </c>
      <c r="T8" s="286" t="s">
        <v>402</v>
      </c>
      <c r="U8" s="287" t="s">
        <v>403</v>
      </c>
      <c r="V8" s="287" t="s">
        <v>404</v>
      </c>
      <c r="W8" s="287" t="s">
        <v>346</v>
      </c>
      <c r="X8" s="287" t="s">
        <v>408</v>
      </c>
      <c r="Y8" s="287" t="s">
        <v>404</v>
      </c>
      <c r="Z8" s="287" t="s">
        <v>406</v>
      </c>
      <c r="AA8" s="287" t="s">
        <v>407</v>
      </c>
      <c r="AB8" s="288" t="s">
        <v>398</v>
      </c>
      <c r="AD8" s="312" t="s">
        <v>411</v>
      </c>
      <c r="AE8" s="313" t="s">
        <v>412</v>
      </c>
      <c r="AF8" s="313" t="s">
        <v>416</v>
      </c>
      <c r="AG8" s="313" t="s">
        <v>413</v>
      </c>
      <c r="AH8" s="314" t="s">
        <v>414</v>
      </c>
      <c r="AI8" s="298">
        <v>0</v>
      </c>
      <c r="AJ8" s="299">
        <v>0.5</v>
      </c>
      <c r="AK8" s="299">
        <v>1</v>
      </c>
      <c r="AL8" s="299">
        <v>1.5</v>
      </c>
      <c r="AM8" s="299">
        <v>2</v>
      </c>
      <c r="AN8" s="299">
        <v>2.5</v>
      </c>
      <c r="AO8" s="299">
        <v>3</v>
      </c>
      <c r="AP8" s="299">
        <v>3.5</v>
      </c>
      <c r="AQ8" s="299">
        <v>4</v>
      </c>
      <c r="AR8" s="304">
        <v>5</v>
      </c>
      <c r="AS8" s="309" t="s">
        <v>4</v>
      </c>
      <c r="AT8" s="1"/>
      <c r="AU8" s="286" t="s">
        <v>402</v>
      </c>
      <c r="AV8" s="287" t="s">
        <v>403</v>
      </c>
      <c r="AW8" s="287" t="s">
        <v>404</v>
      </c>
      <c r="AX8" s="287" t="s">
        <v>346</v>
      </c>
      <c r="AY8" s="287" t="s">
        <v>347</v>
      </c>
      <c r="AZ8" s="287" t="s">
        <v>405</v>
      </c>
      <c r="BA8" s="287" t="s">
        <v>406</v>
      </c>
      <c r="BB8" s="287" t="s">
        <v>407</v>
      </c>
      <c r="BC8" s="288" t="s">
        <v>398</v>
      </c>
    </row>
    <row r="9" spans="2:55" ht="33.950000000000003" customHeight="1" thickBot="1" x14ac:dyDescent="0.25">
      <c r="B9" s="563">
        <f>'Unos podataka'!F14</f>
        <v>1</v>
      </c>
      <c r="C9" s="207" t="str">
        <f>'Unos podataka'!G14</f>
        <v># 1</v>
      </c>
      <c r="D9" s="843">
        <f>IF(B9&lt;&gt;"",'Unos podataka'!H14,"")</f>
        <v>0</v>
      </c>
      <c r="E9" s="844"/>
      <c r="F9" s="283">
        <f>IF(B9=1,'Unos podataka'!I14,"")</f>
        <v>0</v>
      </c>
      <c r="G9" s="328" t="str">
        <f>IF(AND(C9&lt;&gt;"",AB19=1),AS9,"")</f>
        <v/>
      </c>
      <c r="H9" s="284">
        <f>IF(C9&lt;&gt;"",IF(G9=0,2,1),"")</f>
        <v>1</v>
      </c>
      <c r="I9" s="21"/>
      <c r="K9" s="289" t="str">
        <f>IF(C9&lt;&gt;"",'EV1 - Hidromorfologija'!G23,"")</f>
        <v/>
      </c>
      <c r="L9" s="290" t="str">
        <f>IF(C9&lt;&gt;"",'EV2 - Ekološki status'!G8,"")</f>
        <v/>
      </c>
      <c r="M9" s="290" t="str">
        <f>IF(C9&lt;&gt;"",'EV3 - Površina sliva'!G8,"")</f>
        <v/>
      </c>
      <c r="N9" s="290" t="str">
        <f>IF(C9&lt;&gt;"",'EV4 - Posebni tipovi V.T.'!G8,"")</f>
        <v/>
      </c>
      <c r="O9" s="290" t="str">
        <f>IF(C9&lt;&gt;"",'EV4 - Posebni tipovi V.T.'!J8,"")</f>
        <v/>
      </c>
      <c r="P9" s="290" t="str">
        <f>IF(C9&lt;&gt;"",'EV5 -Postojanje mrjestilišta'!G8,"")</f>
        <v/>
      </c>
      <c r="Q9" s="290" t="str">
        <f>IF('EV6- Putevi slobodnog toka'!F8="","",IF(C9&lt;&gt;"",'EV6- Putevi slobodnog toka'!F8,""))</f>
        <v>Izaberite</v>
      </c>
      <c r="R9" s="290" t="str">
        <f>IF(C9&lt;&gt;"",'EV7 - Toplotno zagađenje'!G8,"")</f>
        <v/>
      </c>
      <c r="S9" s="291" t="str">
        <f>IF(C9&lt;&gt;"",'EV8 - Akumulacija'!H8,"")</f>
        <v/>
      </c>
      <c r="T9" s="289" t="str">
        <f>IF(C9&lt;&gt;"",'EV1 - Hidromorfologija'!H23,"")</f>
        <v/>
      </c>
      <c r="U9" s="290" t="str">
        <f>IF(C9&lt;&gt;"",'EV2 - Ekološki status'!H8,"")</f>
        <v/>
      </c>
      <c r="V9" s="290" t="str">
        <f>IF(C9&lt;&gt;"",'EV3 - Površina sliva'!H8,"")</f>
        <v/>
      </c>
      <c r="W9" s="290" t="str">
        <f>IF(C9&lt;&gt;"",'EV4 - Posebni tipovi V.T.'!H8,"")</f>
        <v/>
      </c>
      <c r="X9" s="290" t="str">
        <f>IF(C9&lt;&gt;"",'EV4 - Posebni tipovi V.T.'!K8,"")</f>
        <v/>
      </c>
      <c r="Y9" s="290" t="str">
        <f>IF(C9&lt;&gt;"",'EV5 -Postojanje mrjestilišta'!H8,"")</f>
        <v/>
      </c>
      <c r="Z9" s="290" t="str">
        <f>IF(C9&lt;&gt;"",'EV6- Putevi slobodnog toka'!G8,"")</f>
        <v>***</v>
      </c>
      <c r="AA9" s="290" t="str">
        <f>IF(C9&lt;&gt;"",'EV7 - Toplotno zagađenje'!H8,"")</f>
        <v/>
      </c>
      <c r="AB9" s="291" t="str">
        <f>IF(C9&lt;&gt;"",'EV8 - Akumulacija'!I8,"")</f>
        <v>***</v>
      </c>
      <c r="AD9" s="317">
        <f>IF(C9="","",SUMPRODUCT((K9:S9=$AW$17)*(T9:AB9="***")))</f>
        <v>0</v>
      </c>
      <c r="AE9" s="318">
        <f>IF(C9="","",COUNTIF(K9:S9,$AW$17))</f>
        <v>0</v>
      </c>
      <c r="AF9" s="318">
        <f>IF(C9="","",COUNTIF(K9:S9,$AW$18))</f>
        <v>0</v>
      </c>
      <c r="AG9" s="319">
        <f>IF(C9="","",IF(AE9&gt;0,SUMIF(K9:S9,"Very sensitive",AU9:BC9)/AE9,0))</f>
        <v>0</v>
      </c>
      <c r="AH9" s="320" t="str">
        <f>IF(AG9&lt;1.5,$AY$17,IF(AG9&gt;2.4,$AY$19,$AY$18))</f>
        <v>nisko</v>
      </c>
      <c r="AI9" s="310" t="str">
        <f>IF(C9="","",IF(OR(L9=$AW$17,AND(AE9&gt;=3,AD9&gt;=2)),0,""))</f>
        <v/>
      </c>
      <c r="AJ9" s="303" t="str">
        <f>IF(C9="","",IF(AND(AE9&gt;=3,AH9=$AY$18),0.5,""))</f>
        <v/>
      </c>
      <c r="AK9" s="303" t="str">
        <f>IF(C9="","",IF(AND(AE9&gt;=3,AH9=$AY$17),1,""))</f>
        <v/>
      </c>
      <c r="AL9" s="303" t="str">
        <f>IF(C9="","",IF(AND(AE9&gt;=2,AH9=$AY$19),1.5,""))</f>
        <v/>
      </c>
      <c r="AM9" s="303" t="str">
        <f>IF(C9="","",IF(AND(AE9&gt;=2,AH9=$AY$18),2,""))</f>
        <v/>
      </c>
      <c r="AN9" s="303" t="str">
        <f>IF(C9="","",IF(AND(AE9&gt;=2,AH9=$AY$17),2.5,""))</f>
        <v/>
      </c>
      <c r="AO9" s="303" t="str">
        <f>IF(C9="","",IF(AND(AE9&gt;=1,AH9=$AY$19),3,""))</f>
        <v/>
      </c>
      <c r="AP9" s="303" t="str">
        <f>IF(C9="","",IF(AND(AE9&gt;=1,OR(AH9=$AY$18,AH9=$AY$17)),3.5,""))</f>
        <v/>
      </c>
      <c r="AQ9" s="303" t="str">
        <f>IF(C9="","",IF(AF9&lt;&gt;0,4,""))</f>
        <v/>
      </c>
      <c r="AR9" s="305">
        <f>IF(C9&lt;&gt;"",IF(AF9=0,5,""),"")</f>
        <v>5</v>
      </c>
      <c r="AS9" s="308">
        <f>IF(C9="","",MIN(AI9:AR9))</f>
        <v>5</v>
      </c>
      <c r="AT9" s="1"/>
      <c r="AU9" s="289" t="str">
        <f t="shared" ref="AU9:BC13" si="0">IF(T9&lt;&gt;"",IF(T9="*",1,IF(T9="**",2,3)),"")</f>
        <v/>
      </c>
      <c r="AV9" s="290" t="str">
        <f t="shared" si="0"/>
        <v/>
      </c>
      <c r="AW9" s="290" t="str">
        <f t="shared" si="0"/>
        <v/>
      </c>
      <c r="AX9" s="290" t="str">
        <f t="shared" si="0"/>
        <v/>
      </c>
      <c r="AY9" s="290" t="str">
        <f t="shared" si="0"/>
        <v/>
      </c>
      <c r="AZ9" s="290" t="str">
        <f t="shared" si="0"/>
        <v/>
      </c>
      <c r="BA9" s="290">
        <f>IF(Z9&lt;&gt;"",IF(Z9="*",1,IF(Z9="**",2,3)),"")</f>
        <v>3</v>
      </c>
      <c r="BB9" s="290" t="str">
        <f t="shared" si="0"/>
        <v/>
      </c>
      <c r="BC9" s="291">
        <f t="shared" si="0"/>
        <v>3</v>
      </c>
    </row>
    <row r="10" spans="2:55" ht="33.950000000000003" customHeight="1" thickBot="1" x14ac:dyDescent="0.25">
      <c r="B10" s="563">
        <f>'Unos podataka'!F15</f>
        <v>1</v>
      </c>
      <c r="C10" s="207" t="str">
        <f>'Unos podataka'!G15</f>
        <v># 2</v>
      </c>
      <c r="D10" s="843">
        <f>IF(B10&lt;&gt;"",'Unos podataka'!H15,"")</f>
        <v>0</v>
      </c>
      <c r="E10" s="844"/>
      <c r="F10" s="283">
        <f>IF(B10=1,'Unos podataka'!I15,"")</f>
        <v>0</v>
      </c>
      <c r="G10" s="328" t="str">
        <f>IF(AND(C10&lt;&gt;"",AB20=1),AS10,"")</f>
        <v/>
      </c>
      <c r="H10" s="284">
        <f>IF(C10&lt;&gt;"",IF(G10=0,2,1),"")</f>
        <v>1</v>
      </c>
      <c r="I10" s="21"/>
      <c r="K10" s="292" t="str">
        <f>IF(C10&lt;&gt;"",'EV1 - Hidromorfologija'!G24,"")</f>
        <v/>
      </c>
      <c r="L10" s="285" t="str">
        <f>IF(C10&lt;&gt;"",'EV2 - Ekološki status'!G9,"")</f>
        <v/>
      </c>
      <c r="M10" s="285" t="str">
        <f>IF(C10&lt;&gt;"",'EV3 - Površina sliva'!G9,"")</f>
        <v/>
      </c>
      <c r="N10" s="285" t="str">
        <f>IF(C10&lt;&gt;"",'EV4 - Posebni tipovi V.T.'!G9,"")</f>
        <v/>
      </c>
      <c r="O10" s="285" t="str">
        <f>IF(C10&lt;&gt;"",'EV4 - Posebni tipovi V.T.'!J9,"")</f>
        <v/>
      </c>
      <c r="P10" s="285" t="str">
        <f>IF(C10&lt;&gt;"",'EV5 -Postojanje mrjestilišta'!G9,"")</f>
        <v/>
      </c>
      <c r="Q10" s="285" t="str">
        <f>IF('EV6- Putevi slobodnog toka'!F9="","",IF(C10&lt;&gt;"",'EV6- Putevi slobodnog toka'!F9,""))</f>
        <v>Izaberite</v>
      </c>
      <c r="R10" s="285" t="str">
        <f>IF(C10&lt;&gt;"",'EV7 - Toplotno zagađenje'!G9,"")</f>
        <v/>
      </c>
      <c r="S10" s="293" t="str">
        <f>IF(C10&lt;&gt;"",'EV8 - Akumulacija'!H9,"")</f>
        <v/>
      </c>
      <c r="T10" s="292" t="str">
        <f>IF(C10&lt;&gt;"",'EV1 - Hidromorfologija'!H24,"")</f>
        <v/>
      </c>
      <c r="U10" s="285" t="str">
        <f>IF(C10&lt;&gt;"",'EV2 - Ekološki status'!H9,"")</f>
        <v/>
      </c>
      <c r="V10" s="285" t="str">
        <f>IF(C10&lt;&gt;"",'EV3 - Površina sliva'!H9,"")</f>
        <v/>
      </c>
      <c r="W10" s="285" t="str">
        <f>IF(C10&lt;&gt;"",'EV4 - Posebni tipovi V.T.'!H9,"")</f>
        <v/>
      </c>
      <c r="X10" s="285" t="str">
        <f>IF(C10&lt;&gt;"",'EV4 - Posebni tipovi V.T.'!K9,"")</f>
        <v/>
      </c>
      <c r="Y10" s="285" t="str">
        <f>IF(C10&lt;&gt;"",'EV5 -Postojanje mrjestilišta'!H9,"")</f>
        <v/>
      </c>
      <c r="Z10" s="285" t="str">
        <f>IF(C10&lt;&gt;"",'EV6- Putevi slobodnog toka'!G9,"")</f>
        <v>***</v>
      </c>
      <c r="AA10" s="285" t="str">
        <f>IF(C10&lt;&gt;"",'EV7 - Toplotno zagađenje'!H9,"")</f>
        <v/>
      </c>
      <c r="AB10" s="293" t="str">
        <f>IF(C10&lt;&gt;"",'EV8 - Akumulacija'!I9,"")</f>
        <v>***</v>
      </c>
      <c r="AD10" s="321">
        <f>IF(C10="","",SUMPRODUCT((K10:S10=$AW$17)*(T10:AB10="***")))</f>
        <v>0</v>
      </c>
      <c r="AE10" s="315">
        <f>IF(C10="","",COUNTIF(K10:S10,$AW$17))</f>
        <v>0</v>
      </c>
      <c r="AF10" s="315">
        <f>IF(C10="","",COUNTIF(K10:S10,$AW$18))</f>
        <v>0</v>
      </c>
      <c r="AG10" s="316">
        <f>IF(C10="","",IF(AE10&gt;0,SUMIF(K10:S10,"Very sensitive",AU10:BC10)/AE10,0))</f>
        <v>0</v>
      </c>
      <c r="AH10" s="322" t="str">
        <f>IF(AG10&lt;1.5,$AY$17,IF(AG10&gt;2.4,$AY$19,$AY$18))</f>
        <v>nisko</v>
      </c>
      <c r="AI10" s="301" t="str">
        <f>IF(C10="","",IF(OR(L10=$AW$17,AND(AE10&gt;=3,AD10&gt;=2)),0,""))</f>
        <v/>
      </c>
      <c r="AJ10" s="300" t="str">
        <f>IF(C10="","",IF(AND(AE10&gt;=3,AH10=$AY$18),0.5,""))</f>
        <v/>
      </c>
      <c r="AK10" s="300" t="str">
        <f>IF(C10="","",IF(AND(AE10&gt;=3,AH10=$AY$17),1,""))</f>
        <v/>
      </c>
      <c r="AL10" s="300" t="str">
        <f>IF(C10="","",IF(AND(AE10&gt;=2,AH10=$AY$19),1.5,""))</f>
        <v/>
      </c>
      <c r="AM10" s="300" t="str">
        <f>IF(C10="","",IF(AND(AE10&gt;=2,AH10=$AY$18),2,""))</f>
        <v/>
      </c>
      <c r="AN10" s="300" t="str">
        <f>IF(C10="","",IF(AND(AE10&gt;=2,AH10=$AY$17),2.5,""))</f>
        <v/>
      </c>
      <c r="AO10" s="300" t="str">
        <f>IF(C10="","",IF(AND(AE10&gt;=1,AH10=$AY$19),3,""))</f>
        <v/>
      </c>
      <c r="AP10" s="300" t="str">
        <f>IF(C10="","",IF(AND(AE10&gt;=1,OR(AH10=$AY$18,AH10=$AY$17)),3.5,""))</f>
        <v/>
      </c>
      <c r="AQ10" s="300" t="str">
        <f>IF(C10="","",IF(AF10&lt;&gt;0,4,""))</f>
        <v/>
      </c>
      <c r="AR10" s="306">
        <f>IF(C10&lt;&gt;"",IF(AF10=0,5,""),"")</f>
        <v>5</v>
      </c>
      <c r="AS10" s="308">
        <f>IF(C10="","",MIN(AI10:AR10))</f>
        <v>5</v>
      </c>
      <c r="AT10" s="1"/>
      <c r="AU10" s="292" t="str">
        <f t="shared" si="0"/>
        <v/>
      </c>
      <c r="AV10" s="285" t="str">
        <f t="shared" si="0"/>
        <v/>
      </c>
      <c r="AW10" s="285" t="str">
        <f t="shared" si="0"/>
        <v/>
      </c>
      <c r="AX10" s="285" t="str">
        <f t="shared" si="0"/>
        <v/>
      </c>
      <c r="AY10" s="285" t="str">
        <f t="shared" si="0"/>
        <v/>
      </c>
      <c r="AZ10" s="285" t="str">
        <f t="shared" si="0"/>
        <v/>
      </c>
      <c r="BA10" s="285">
        <f t="shared" si="0"/>
        <v>3</v>
      </c>
      <c r="BB10" s="285" t="str">
        <f t="shared" si="0"/>
        <v/>
      </c>
      <c r="BC10" s="293">
        <f t="shared" si="0"/>
        <v>3</v>
      </c>
    </row>
    <row r="11" spans="2:55" ht="33.950000000000003" customHeight="1" thickBot="1" x14ac:dyDescent="0.25">
      <c r="B11" s="563" t="str">
        <f>'Unos podataka'!F16</f>
        <v/>
      </c>
      <c r="C11" s="207" t="str">
        <f>'Unos podataka'!G16</f>
        <v/>
      </c>
      <c r="D11" s="843" t="str">
        <f>IF(B11&lt;&gt;"",'Unos podataka'!H16,"")</f>
        <v/>
      </c>
      <c r="E11" s="844"/>
      <c r="F11" s="283" t="str">
        <f>IF(B11=1,'Unos podataka'!I16,"")</f>
        <v/>
      </c>
      <c r="G11" s="328" t="str">
        <f>IF(AND(C11&lt;&gt;"",AB21=1),AS11,"")</f>
        <v/>
      </c>
      <c r="H11" s="284" t="str">
        <f>IF(C11&lt;&gt;"",IF(G11=0,2,1),"")</f>
        <v/>
      </c>
      <c r="I11" s="21"/>
      <c r="K11" s="292" t="str">
        <f>IF(C11&lt;&gt;"",'EV1 - Hidromorfologija'!G25,"")</f>
        <v/>
      </c>
      <c r="L11" s="285" t="str">
        <f>IF(C11&lt;&gt;"",'EV2 - Ekološki status'!G10,"")</f>
        <v/>
      </c>
      <c r="M11" s="285" t="str">
        <f>IF(C11&lt;&gt;"",'EV3 - Površina sliva'!G10,"")</f>
        <v/>
      </c>
      <c r="N11" s="285" t="str">
        <f>IF(C11&lt;&gt;"",'EV4 - Posebni tipovi V.T.'!G10,"")</f>
        <v/>
      </c>
      <c r="O11" s="285" t="str">
        <f>IF(C11&lt;&gt;"",'EV4 - Posebni tipovi V.T.'!J10,"")</f>
        <v/>
      </c>
      <c r="P11" s="285" t="str">
        <f>IF(C11&lt;&gt;"",'EV5 -Postojanje mrjestilišta'!G10,"")</f>
        <v/>
      </c>
      <c r="Q11" s="285" t="str">
        <f>IF('EV6- Putevi slobodnog toka'!F10="","",IF(C11&lt;&gt;"",'EV6- Putevi slobodnog toka'!F10,""))</f>
        <v/>
      </c>
      <c r="R11" s="285" t="str">
        <f>IF(C11&lt;&gt;"",'EV7 - Toplotno zagađenje'!G10,"")</f>
        <v/>
      </c>
      <c r="S11" s="293" t="str">
        <f>IF(C11&lt;&gt;"",'EV8 - Akumulacija'!H10,"")</f>
        <v/>
      </c>
      <c r="T11" s="292" t="str">
        <f>IF(C11&lt;&gt;"",'EV1 - Hidromorfologija'!H25,"")</f>
        <v/>
      </c>
      <c r="U11" s="285" t="str">
        <f>IF(C11&lt;&gt;"",'EV2 - Ekološki status'!H10,"")</f>
        <v/>
      </c>
      <c r="V11" s="285" t="str">
        <f>IF(C11&lt;&gt;"",'EV3 - Površina sliva'!H10,"")</f>
        <v/>
      </c>
      <c r="W11" s="285" t="str">
        <f>IF(C11&lt;&gt;"",'EV4 - Posebni tipovi V.T.'!H10,"")</f>
        <v/>
      </c>
      <c r="X11" s="285" t="str">
        <f>IF(C11&lt;&gt;"",'EV4 - Posebni tipovi V.T.'!K10,"")</f>
        <v/>
      </c>
      <c r="Y11" s="285" t="str">
        <f>IF(C11&lt;&gt;"",'EV5 -Postojanje mrjestilišta'!H10,"")</f>
        <v/>
      </c>
      <c r="Z11" s="285" t="str">
        <f>IF(C11&lt;&gt;"",'EV6- Putevi slobodnog toka'!G10,"")</f>
        <v/>
      </c>
      <c r="AA11" s="285" t="str">
        <f>IF(C11&lt;&gt;"",'EV7 - Toplotno zagađenje'!H10,"")</f>
        <v/>
      </c>
      <c r="AB11" s="293" t="str">
        <f>IF(C11&lt;&gt;"",'EV8 - Akumulacija'!I10,"")</f>
        <v/>
      </c>
      <c r="AD11" s="321" t="str">
        <f>IF(C11="","",SUMPRODUCT((K11:S11=$AW$17)*(T11:AB11="***")))</f>
        <v/>
      </c>
      <c r="AE11" s="315" t="str">
        <f>IF(C11="","",COUNTIF(K11:S11,$AW$17))</f>
        <v/>
      </c>
      <c r="AF11" s="315" t="str">
        <f>IF(C11="","",COUNTIF(K11:S11,$AW$18))</f>
        <v/>
      </c>
      <c r="AG11" s="316" t="str">
        <f>IF(C11="","",IF(AE11&gt;0,SUMIF(K11:S11,"Very sensitive",AU11:BC11)/AE11,0))</f>
        <v/>
      </c>
      <c r="AH11" s="322" t="str">
        <f>IF(C11="","",IF(AG11&lt;1.5,$AY$17,IF(AG11&gt;2.4,$AY$19,$AY$18)))</f>
        <v/>
      </c>
      <c r="AI11" s="301" t="str">
        <f>IF(C11="","",IF(OR(L11=$AW$17,AND(AE11&gt;=3,AD11&gt;=2)),0,""))</f>
        <v/>
      </c>
      <c r="AJ11" s="300" t="str">
        <f>IF(C11="","",IF(AND(AE11&gt;=3,AH11=$AY$18),0.5,""))</f>
        <v/>
      </c>
      <c r="AK11" s="300" t="str">
        <f>IF(C11="","",IF(AND(AE11&gt;=3,AH11=$AY$17),1,""))</f>
        <v/>
      </c>
      <c r="AL11" s="300" t="str">
        <f>IF(C11="","",IF(AND(AE11&gt;=2,AH11=$AY$19),1.5,""))</f>
        <v/>
      </c>
      <c r="AM11" s="300" t="str">
        <f>IF(C11="","",IF(AND(AE11&gt;=2,AH11=$AY$18),2,""))</f>
        <v/>
      </c>
      <c r="AN11" s="300" t="str">
        <f>IF(C11="","",IF(AND(AE11&gt;=2,AH11=$AY$17),2.5,""))</f>
        <v/>
      </c>
      <c r="AO11" s="300" t="str">
        <f>IF(C11="","",IF(AND(AE11&gt;=1,AH11=$AY$19),3,""))</f>
        <v/>
      </c>
      <c r="AP11" s="300" t="str">
        <f>IF(C11="","",IF(AND(AE11&gt;=1,OR(AH11=$AY$18,AH11=$AY$17)),3.5,""))</f>
        <v/>
      </c>
      <c r="AQ11" s="300" t="str">
        <f>IF(C11="","",IF(AF11&lt;&gt;0,4,""))</f>
        <v/>
      </c>
      <c r="AR11" s="306" t="str">
        <f>IF(C11&lt;&gt;"",IF(AF11=0,5,""),"")</f>
        <v/>
      </c>
      <c r="AS11" s="308" t="str">
        <f>IF(C11="","",MIN(AI11:AR11))</f>
        <v/>
      </c>
      <c r="AT11" s="1"/>
      <c r="AU11" s="292" t="str">
        <f t="shared" si="0"/>
        <v/>
      </c>
      <c r="AV11" s="285" t="str">
        <f t="shared" si="0"/>
        <v/>
      </c>
      <c r="AW11" s="285" t="str">
        <f t="shared" si="0"/>
        <v/>
      </c>
      <c r="AX11" s="285" t="str">
        <f t="shared" si="0"/>
        <v/>
      </c>
      <c r="AY11" s="285" t="str">
        <f t="shared" si="0"/>
        <v/>
      </c>
      <c r="AZ11" s="285" t="str">
        <f t="shared" si="0"/>
        <v/>
      </c>
      <c r="BA11" s="285" t="str">
        <f t="shared" si="0"/>
        <v/>
      </c>
      <c r="BB11" s="285" t="str">
        <f t="shared" si="0"/>
        <v/>
      </c>
      <c r="BC11" s="293" t="str">
        <f t="shared" si="0"/>
        <v/>
      </c>
    </row>
    <row r="12" spans="2:55" ht="33.950000000000003" customHeight="1" thickBot="1" x14ac:dyDescent="0.25">
      <c r="B12" s="563" t="str">
        <f>'Unos podataka'!F17</f>
        <v/>
      </c>
      <c r="C12" s="368" t="str">
        <f>'Unos podataka'!G17</f>
        <v/>
      </c>
      <c r="D12" s="843" t="str">
        <f>IF(B12&lt;&gt;"",'Unos podataka'!H17,"")</f>
        <v/>
      </c>
      <c r="E12" s="844"/>
      <c r="F12" s="283" t="str">
        <f>IF(B12=1,'Unos podataka'!I17,"")</f>
        <v/>
      </c>
      <c r="G12" s="328" t="str">
        <f>IF(AND(C12&lt;&gt;"",AB22=1),AS12,"")</f>
        <v/>
      </c>
      <c r="H12" s="284" t="str">
        <f>IF(C12&lt;&gt;"",IF(G12=0,2,1),"")</f>
        <v/>
      </c>
      <c r="I12" s="21"/>
      <c r="K12" s="292" t="str">
        <f>IF(C12&lt;&gt;"",'EV1 - Hidromorfologija'!G26,"")</f>
        <v/>
      </c>
      <c r="L12" s="285" t="str">
        <f>IF(C12&lt;&gt;"",'EV2 - Ekološki status'!G11,"")</f>
        <v/>
      </c>
      <c r="M12" s="285" t="str">
        <f>IF(C12&lt;&gt;"",'EV3 - Površina sliva'!G11,"")</f>
        <v/>
      </c>
      <c r="N12" s="285" t="str">
        <f>IF(C12&lt;&gt;"",'EV4 - Posebni tipovi V.T.'!G11,"")</f>
        <v/>
      </c>
      <c r="O12" s="285" t="str">
        <f>IF(C12&lt;&gt;"",'EV4 - Posebni tipovi V.T.'!J11,"")</f>
        <v/>
      </c>
      <c r="P12" s="285" t="str">
        <f>IF(C12&lt;&gt;"",'EV5 -Postojanje mrjestilišta'!G11,"")</f>
        <v/>
      </c>
      <c r="Q12" s="285" t="str">
        <f>IF('EV6- Putevi slobodnog toka'!F11="","",IF(C12&lt;&gt;"",'EV6- Putevi slobodnog toka'!F11,""))</f>
        <v/>
      </c>
      <c r="R12" s="285" t="str">
        <f>IF(C12&lt;&gt;"",'EV7 - Toplotno zagađenje'!G11,"")</f>
        <v/>
      </c>
      <c r="S12" s="293" t="str">
        <f>IF(C12&lt;&gt;"",'EV8 - Akumulacija'!H11,"")</f>
        <v/>
      </c>
      <c r="T12" s="292" t="str">
        <f>IF(C12&lt;&gt;"",'EV1 - Hidromorfologija'!H26,"")</f>
        <v/>
      </c>
      <c r="U12" s="285" t="str">
        <f>IF(C12&lt;&gt;"",'EV2 - Ekološki status'!H11,"")</f>
        <v/>
      </c>
      <c r="V12" s="285" t="str">
        <f>IF(C12&lt;&gt;"",'EV3 - Površina sliva'!H11,"")</f>
        <v/>
      </c>
      <c r="W12" s="285" t="str">
        <f>IF(C12&lt;&gt;"",'EV4 - Posebni tipovi V.T.'!H11,"")</f>
        <v/>
      </c>
      <c r="X12" s="285" t="str">
        <f>IF(C12&lt;&gt;"",'EV4 - Posebni tipovi V.T.'!K11,"")</f>
        <v/>
      </c>
      <c r="Y12" s="285" t="str">
        <f>IF(C12&lt;&gt;"",'EV5 -Postojanje mrjestilišta'!H11,"")</f>
        <v/>
      </c>
      <c r="Z12" s="285" t="str">
        <f>IF(C12&lt;&gt;"",'EV6- Putevi slobodnog toka'!G11,"")</f>
        <v/>
      </c>
      <c r="AA12" s="285" t="str">
        <f>IF(C12&lt;&gt;"",'EV7 - Toplotno zagađenje'!H11,"")</f>
        <v/>
      </c>
      <c r="AB12" s="293" t="str">
        <f>IF(C12&lt;&gt;"",'EV8 - Akumulacija'!I11,"")</f>
        <v/>
      </c>
      <c r="AD12" s="321" t="str">
        <f>IF(C12="","",SUMPRODUCT((K12:S12=$AW$17)*(T12:AB12="***")))</f>
        <v/>
      </c>
      <c r="AE12" s="315" t="str">
        <f>IF(C12="","",COUNTIF(K12:S12,$AW$17))</f>
        <v/>
      </c>
      <c r="AF12" s="315" t="str">
        <f>IF(C12="","",COUNTIF(K12:S12,$AW$18))</f>
        <v/>
      </c>
      <c r="AG12" s="316" t="str">
        <f>IF(C12="","",IF(AE12&gt;0,SUMIF(K12:S12,"Very sensitive",AU12:BC12)/AE12,0))</f>
        <v/>
      </c>
      <c r="AH12" s="322" t="str">
        <f>IF(C12="","",IF(AG12&lt;1.5,$AY$17,IF(AG12&gt;2.4,$AY$19,$AY$18)))</f>
        <v/>
      </c>
      <c r="AI12" s="301" t="str">
        <f>IF(C12="","",IF(OR(L12=$AW$17,AND(AE12&gt;=3,AD12&gt;=2)),0,""))</f>
        <v/>
      </c>
      <c r="AJ12" s="300" t="str">
        <f>IF(C12="","",IF(AND(AE12&gt;=3,AH12=$AY$18),0.5,""))</f>
        <v/>
      </c>
      <c r="AK12" s="300" t="str">
        <f>IF(C12="","",IF(AND(AE12&gt;=3,AH12=$AY$17),1,""))</f>
        <v/>
      </c>
      <c r="AL12" s="300" t="str">
        <f>IF(C12="","",IF(AND(AE12&gt;=2,AH12=$AY$19),1.5,""))</f>
        <v/>
      </c>
      <c r="AM12" s="300" t="str">
        <f>IF(C12="","",IF(AND(AE12&gt;=2,AH12=$AY$18),2,""))</f>
        <v/>
      </c>
      <c r="AN12" s="300" t="str">
        <f>IF(C12="","",IF(AND(AE12&gt;=2,AH12=$AY$17),2.5,""))</f>
        <v/>
      </c>
      <c r="AO12" s="300" t="str">
        <f>IF(C12="","",IF(AND(AE12&gt;=1,AH12=$AY$19),3,""))</f>
        <v/>
      </c>
      <c r="AP12" s="300" t="str">
        <f>IF(C12="","",IF(AND(AE12&gt;=1,OR(AH12=$AY$18,AH12=$AY$17)),3.5,""))</f>
        <v/>
      </c>
      <c r="AQ12" s="300" t="str">
        <f>IF(C12="","",IF(AF12&lt;&gt;0,4,""))</f>
        <v/>
      </c>
      <c r="AR12" s="306" t="str">
        <f>IF(C12&lt;&gt;"",IF(AF12=0,5,""),"")</f>
        <v/>
      </c>
      <c r="AS12" s="308" t="str">
        <f>IF(C12="","",MIN(AI12:AR12))</f>
        <v/>
      </c>
      <c r="AT12" s="1"/>
      <c r="AU12" s="292" t="str">
        <f t="shared" si="0"/>
        <v/>
      </c>
      <c r="AV12" s="285" t="str">
        <f t="shared" si="0"/>
        <v/>
      </c>
      <c r="AW12" s="285" t="str">
        <f t="shared" si="0"/>
        <v/>
      </c>
      <c r="AX12" s="285" t="str">
        <f t="shared" si="0"/>
        <v/>
      </c>
      <c r="AY12" s="285" t="str">
        <f t="shared" si="0"/>
        <v/>
      </c>
      <c r="AZ12" s="285" t="str">
        <f t="shared" si="0"/>
        <v/>
      </c>
      <c r="BA12" s="285" t="str">
        <f t="shared" si="0"/>
        <v/>
      </c>
      <c r="BB12" s="285" t="str">
        <f t="shared" si="0"/>
        <v/>
      </c>
      <c r="BC12" s="293" t="str">
        <f t="shared" si="0"/>
        <v/>
      </c>
    </row>
    <row r="13" spans="2:55" ht="33.950000000000003" customHeight="1" thickBot="1" x14ac:dyDescent="0.25">
      <c r="B13" s="563" t="str">
        <f>'Unos podataka'!F18</f>
        <v/>
      </c>
      <c r="C13" s="629" t="str">
        <f>'Unos podataka'!G18</f>
        <v/>
      </c>
      <c r="D13" s="845" t="str">
        <f>IF(B13&lt;&gt;"",'Unos podataka'!H18,"")</f>
        <v/>
      </c>
      <c r="E13" s="844"/>
      <c r="F13" s="283" t="str">
        <f>IF(B13=1,'Unos podataka'!I18,"")</f>
        <v/>
      </c>
      <c r="G13" s="328" t="str">
        <f>IF(AND(C13&lt;&gt;"",AB23=1),AS13,"")</f>
        <v/>
      </c>
      <c r="H13" s="221" t="str">
        <f>IF(C13&lt;&gt;"",IF(G13=0,2,1),"")</f>
        <v/>
      </c>
      <c r="I13" s="21"/>
      <c r="K13" s="294" t="str">
        <f>IF(C13&lt;&gt;"",'EV1 - Hidromorfologija'!G27,"")</f>
        <v/>
      </c>
      <c r="L13" s="295" t="str">
        <f>IF(C13&lt;&gt;"",'EV2 - Ekološki status'!G12,"")</f>
        <v/>
      </c>
      <c r="M13" s="295" t="str">
        <f>IF(C13&lt;&gt;"",'EV3 - Površina sliva'!G12,"")</f>
        <v/>
      </c>
      <c r="N13" s="295" t="str">
        <f>IF(C13&lt;&gt;"",'EV4 - Posebni tipovi V.T.'!G12,"")</f>
        <v/>
      </c>
      <c r="O13" s="295" t="str">
        <f>IF(C13&lt;&gt;"",'EV4 - Posebni tipovi V.T.'!J12,"")</f>
        <v/>
      </c>
      <c r="P13" s="295" t="str">
        <f>IF(C13&lt;&gt;"",'EV5 -Postojanje mrjestilišta'!G12,"")</f>
        <v/>
      </c>
      <c r="Q13" s="295" t="str">
        <f>IF('EV6- Putevi slobodnog toka'!F12="","",IF(C13&lt;&gt;"",'EV6- Putevi slobodnog toka'!F12,""))</f>
        <v/>
      </c>
      <c r="R13" s="295" t="str">
        <f>IF(C13&lt;&gt;"",'EV7 - Toplotno zagađenje'!G12,"")</f>
        <v/>
      </c>
      <c r="S13" s="296" t="str">
        <f>IF(C13&lt;&gt;"",'EV8 - Akumulacija'!H12,"")</f>
        <v/>
      </c>
      <c r="T13" s="294" t="str">
        <f>IF(C13&lt;&gt;"",'EV1 - Hidromorfologija'!H27,"")</f>
        <v/>
      </c>
      <c r="U13" s="295" t="str">
        <f>IF(C13&lt;&gt;"",'EV2 - Ekološki status'!H12,"")</f>
        <v/>
      </c>
      <c r="V13" s="295" t="str">
        <f>IF(C13&lt;&gt;"",'EV3 - Površina sliva'!H12,"")</f>
        <v/>
      </c>
      <c r="W13" s="295" t="str">
        <f>IF(C13&lt;&gt;"",'EV4 - Posebni tipovi V.T.'!H12,"")</f>
        <v/>
      </c>
      <c r="X13" s="295" t="str">
        <f>IF(C13&lt;&gt;"",'EV4 - Posebni tipovi V.T.'!K12,"")</f>
        <v/>
      </c>
      <c r="Y13" s="295" t="str">
        <f>IF(C13&lt;&gt;"",'EV5 -Postojanje mrjestilišta'!H12,"")</f>
        <v/>
      </c>
      <c r="Z13" s="295" t="str">
        <f>IF(C13&lt;&gt;"",'EV6- Putevi slobodnog toka'!G12,"")</f>
        <v/>
      </c>
      <c r="AA13" s="295" t="str">
        <f>IF(C13&lt;&gt;"",'EV7 - Toplotno zagađenje'!H12,"")</f>
        <v/>
      </c>
      <c r="AB13" s="296" t="str">
        <f>IF(C13&lt;&gt;"",'EV8 - Akumulacija'!I12,"")</f>
        <v/>
      </c>
      <c r="AD13" s="323" t="str">
        <f>IF(C13="","",SUMPRODUCT((K13:S13=$AW$17)*(T13:AB13="***")))</f>
        <v/>
      </c>
      <c r="AE13" s="324" t="str">
        <f>IF(C13="","",COUNTIF(K13:S13,$AW$17))</f>
        <v/>
      </c>
      <c r="AF13" s="324" t="str">
        <f>IF(C13="","",COUNTIF(K13:S13,$AW$18))</f>
        <v/>
      </c>
      <c r="AG13" s="325" t="str">
        <f>IF(C13="","",IF(AE13&gt;0,SUMIF(K13:S13,"Very sensitive",AU13:BC13)/AE13,0))</f>
        <v/>
      </c>
      <c r="AH13" s="326" t="str">
        <f>IF(C13="","",IF(AG13&lt;1.5,$AY$17,IF(AG13&gt;2.4,$AY$19,$AY$18)))</f>
        <v/>
      </c>
      <c r="AI13" s="311" t="str">
        <f>IF(C13="","",IF(OR(L13=$AW$17,AND(AE13&gt;=3,AD13&gt;=2)),0,""))</f>
        <v/>
      </c>
      <c r="AJ13" s="302" t="str">
        <f>IF(C13="","",IF(AND(AE13&gt;=3,AH13=$AY$18),0.5,""))</f>
        <v/>
      </c>
      <c r="AK13" s="302" t="str">
        <f>IF(C13="","",IF(AND(AE13&gt;=3,AH13=$AY$17),1,""))</f>
        <v/>
      </c>
      <c r="AL13" s="302" t="str">
        <f>IF(C13="","",IF(AND(AE13&gt;=2,AH13=$AY$19),1.5,""))</f>
        <v/>
      </c>
      <c r="AM13" s="302" t="str">
        <f>IF(C13="","",IF(AND(AE13&gt;=2,AH13=$AY$18),2,""))</f>
        <v/>
      </c>
      <c r="AN13" s="302" t="str">
        <f>IF(C13="","",IF(AND(AE13&gt;=2,AH13=$AY$17),2.5,""))</f>
        <v/>
      </c>
      <c r="AO13" s="302" t="str">
        <f>IF(C13="","",IF(AND(AE13&gt;=1,AH13=$AY$19),3,""))</f>
        <v/>
      </c>
      <c r="AP13" s="302" t="str">
        <f>IF(C13="","",IF(AND(AE13&gt;=1,OR(AH13=$AY$18,AH13=$AY$17)),3.5,""))</f>
        <v/>
      </c>
      <c r="AQ13" s="302" t="str">
        <f>IF(C13="","",IF(AF13&lt;&gt;0,4,""))</f>
        <v/>
      </c>
      <c r="AR13" s="307" t="str">
        <f>IF(C13&lt;&gt;"",IF(AF13=0,5,""),"")</f>
        <v/>
      </c>
      <c r="AS13" s="358" t="str">
        <f>IF(C13="","",MIN(AI13:AR13))</f>
        <v/>
      </c>
      <c r="AT13" s="1"/>
      <c r="AU13" s="294" t="str">
        <f t="shared" si="0"/>
        <v/>
      </c>
      <c r="AV13" s="295" t="str">
        <f t="shared" si="0"/>
        <v/>
      </c>
      <c r="AW13" s="295" t="str">
        <f t="shared" si="0"/>
        <v/>
      </c>
      <c r="AX13" s="295" t="str">
        <f t="shared" si="0"/>
        <v/>
      </c>
      <c r="AY13" s="295" t="str">
        <f t="shared" si="0"/>
        <v/>
      </c>
      <c r="AZ13" s="295" t="str">
        <f t="shared" si="0"/>
        <v/>
      </c>
      <c r="BA13" s="295" t="str">
        <f t="shared" si="0"/>
        <v/>
      </c>
      <c r="BB13" s="295" t="str">
        <f t="shared" si="0"/>
        <v/>
      </c>
      <c r="BC13" s="296" t="str">
        <f t="shared" si="0"/>
        <v/>
      </c>
    </row>
    <row r="14" spans="2:55" x14ac:dyDescent="0.2">
      <c r="B14" s="204"/>
      <c r="C14" s="16"/>
      <c r="D14" s="16"/>
      <c r="E14" s="16"/>
      <c r="F14" s="16"/>
      <c r="G14" s="16"/>
      <c r="H14" s="16"/>
      <c r="I14" s="21"/>
      <c r="AT14" s="1"/>
    </row>
    <row r="15" spans="2:55" ht="17.100000000000001" customHeight="1" thickBot="1" x14ac:dyDescent="0.25">
      <c r="B15" s="204"/>
      <c r="C15" s="46"/>
      <c r="D15" s="46"/>
      <c r="E15" s="46"/>
      <c r="F15" s="46"/>
      <c r="G15" s="16"/>
      <c r="H15" s="16"/>
      <c r="I15" s="21"/>
      <c r="AT15" s="1"/>
    </row>
    <row r="16" spans="2:55" ht="38.1" customHeight="1" thickBot="1" x14ac:dyDescent="0.25">
      <c r="B16" s="204"/>
      <c r="C16" s="840" t="s">
        <v>419</v>
      </c>
      <c r="D16" s="841"/>
      <c r="E16" s="841"/>
      <c r="F16" s="842"/>
      <c r="G16" s="327" t="str">
        <f>IF(OR(C9="",F9=0),"",IF(AB24&lt;COUNT(H9:H13),"",SUMPRODUCT(F9:F13,G9:G13)/SUMPRODUCT(F9:F13,H9:H13)))</f>
        <v/>
      </c>
      <c r="H16" s="16"/>
      <c r="I16" s="21"/>
      <c r="AT16" s="1"/>
    </row>
    <row r="17" spans="2:51" ht="16.5" thickBot="1" x14ac:dyDescent="0.3">
      <c r="B17" s="211"/>
      <c r="C17" s="51"/>
      <c r="D17" s="51"/>
      <c r="E17" s="51"/>
      <c r="F17" s="51"/>
      <c r="G17" s="51"/>
      <c r="H17" s="51"/>
      <c r="I17" s="212"/>
      <c r="R17" s="297" t="s">
        <v>420</v>
      </c>
      <c r="AD17" s="353" t="s">
        <v>422</v>
      </c>
      <c r="AE17" s="354"/>
      <c r="AF17" s="354"/>
      <c r="AG17" s="354"/>
      <c r="AH17" s="354"/>
      <c r="AI17" s="354"/>
      <c r="AJ17" s="354"/>
      <c r="AK17" s="354"/>
      <c r="AL17" s="354"/>
      <c r="AM17" s="354"/>
      <c r="AN17" s="354"/>
      <c r="AO17" s="354"/>
      <c r="AP17" s="357" t="s">
        <v>0</v>
      </c>
      <c r="AU17" s="352" t="s">
        <v>43</v>
      </c>
      <c r="AV17" s="343"/>
      <c r="AW17" s="344" t="s">
        <v>327</v>
      </c>
      <c r="AX17" s="343"/>
      <c r="AY17" s="345" t="s">
        <v>423</v>
      </c>
    </row>
    <row r="18" spans="2:51" ht="18.95" customHeight="1" thickBot="1" x14ac:dyDescent="0.25">
      <c r="R18" s="571"/>
      <c r="S18" s="568" t="s">
        <v>436</v>
      </c>
      <c r="T18" s="569" t="s">
        <v>437</v>
      </c>
      <c r="U18" s="569" t="s">
        <v>438</v>
      </c>
      <c r="V18" s="569" t="s">
        <v>439</v>
      </c>
      <c r="W18" s="569" t="s">
        <v>440</v>
      </c>
      <c r="X18" s="569" t="s">
        <v>441</v>
      </c>
      <c r="Y18" s="569" t="s">
        <v>442</v>
      </c>
      <c r="Z18" s="569" t="s">
        <v>443</v>
      </c>
      <c r="AA18" s="569" t="s">
        <v>444</v>
      </c>
      <c r="AB18" s="570" t="s">
        <v>421</v>
      </c>
      <c r="AD18" s="330" t="s">
        <v>426</v>
      </c>
      <c r="AE18" s="331"/>
      <c r="AF18" s="331"/>
      <c r="AG18" s="331"/>
      <c r="AH18" s="331"/>
      <c r="AI18" s="331"/>
      <c r="AJ18" s="331"/>
      <c r="AK18" s="331"/>
      <c r="AL18" s="331"/>
      <c r="AM18" s="331"/>
      <c r="AN18" s="331"/>
      <c r="AO18" s="331"/>
      <c r="AP18" s="337">
        <v>5</v>
      </c>
      <c r="AU18" s="346"/>
      <c r="AV18" s="341"/>
      <c r="AW18" s="342" t="s">
        <v>328</v>
      </c>
      <c r="AX18" s="341"/>
      <c r="AY18" s="347" t="s">
        <v>424</v>
      </c>
    </row>
    <row r="19" spans="2:51" ht="17.100000000000001" customHeight="1" thickBot="1" x14ac:dyDescent="0.25">
      <c r="R19" s="564" t="str">
        <f>C9</f>
        <v># 1</v>
      </c>
      <c r="S19" s="572">
        <f t="shared" ref="S19" si="1">IF(R19="","",IF(K9&lt;&gt;"",1,0))</f>
        <v>0</v>
      </c>
      <c r="T19" s="572">
        <f t="shared" ref="T19" si="2">IF(S19="","",IF(L9&lt;&gt;"",1,0))</f>
        <v>0</v>
      </c>
      <c r="U19" s="572">
        <f t="shared" ref="U19" si="3">IF(T19="","",IF(M9&lt;&gt;"",1,0))</f>
        <v>0</v>
      </c>
      <c r="V19" s="572">
        <f>IF(U19="","",IF(N9&lt;&gt;"",1,0))</f>
        <v>0</v>
      </c>
      <c r="W19" s="572">
        <f t="shared" ref="W19" si="4">IF(V19="","",IF(O9&lt;&gt;"",1,0))</f>
        <v>0</v>
      </c>
      <c r="X19" s="572">
        <f t="shared" ref="X19" si="5">IF(W19="","",IF(P9&lt;&gt;"",1,0))</f>
        <v>0</v>
      </c>
      <c r="Y19" s="572">
        <f t="shared" ref="Y19" si="6">IF(X19="","",IF(Q9&lt;&gt;"",1,0))</f>
        <v>1</v>
      </c>
      <c r="Z19" s="572">
        <f t="shared" ref="Z19" si="7">IF(Y19="","",IF(R9&lt;&gt;"",1,0))</f>
        <v>0</v>
      </c>
      <c r="AA19" s="572">
        <f t="shared" ref="AA19" si="8">IF(Z19="","",IF(S9&lt;&gt;"",1,0))</f>
        <v>0</v>
      </c>
      <c r="AB19" s="572">
        <f t="shared" ref="AB19" si="9">IF(R19="","",PRODUCT(S19:AA19))</f>
        <v>0</v>
      </c>
      <c r="AD19" s="332" t="s">
        <v>427</v>
      </c>
      <c r="AE19" s="333"/>
      <c r="AF19" s="333"/>
      <c r="AG19" s="333"/>
      <c r="AH19" s="333"/>
      <c r="AI19" s="333"/>
      <c r="AJ19" s="333"/>
      <c r="AK19" s="333"/>
      <c r="AL19" s="333"/>
      <c r="AM19" s="333"/>
      <c r="AN19" s="333"/>
      <c r="AO19" s="333"/>
      <c r="AP19" s="338">
        <v>4</v>
      </c>
      <c r="AU19" s="348"/>
      <c r="AV19" s="349"/>
      <c r="AW19" s="350" t="s">
        <v>329</v>
      </c>
      <c r="AX19" s="349"/>
      <c r="AY19" s="351" t="s">
        <v>425</v>
      </c>
    </row>
    <row r="20" spans="2:51" x14ac:dyDescent="0.2">
      <c r="R20" s="565" t="str">
        <f>C10</f>
        <v># 2</v>
      </c>
      <c r="S20" s="572">
        <f t="shared" ref="S20:S23" si="10">IF(R20="","",IF(K10&lt;&gt;"",1,0))</f>
        <v>0</v>
      </c>
      <c r="T20" s="572">
        <f t="shared" ref="T20:T23" si="11">IF(S20="","",IF(L10&lt;&gt;"",1,0))</f>
        <v>0</v>
      </c>
      <c r="U20" s="572">
        <f t="shared" ref="U20:U23" si="12">IF(T20="","",IF(M10&lt;&gt;"",1,0))</f>
        <v>0</v>
      </c>
      <c r="V20" s="572">
        <f t="shared" ref="V20:V23" si="13">IF(U20="","",IF(N10&lt;&gt;"",1,0))</f>
        <v>0</v>
      </c>
      <c r="W20" s="572">
        <f t="shared" ref="W20:W23" si="14">IF(V20="","",IF(O10&lt;&gt;"",1,0))</f>
        <v>0</v>
      </c>
      <c r="X20" s="572">
        <f t="shared" ref="X20:X23" si="15">IF(W20="","",IF(P10&lt;&gt;"",1,0))</f>
        <v>0</v>
      </c>
      <c r="Y20" s="572">
        <f t="shared" ref="Y20:Y23" si="16">IF(X20="","",IF(Q10&lt;&gt;"",1,0))</f>
        <v>1</v>
      </c>
      <c r="Z20" s="572">
        <f t="shared" ref="Z20:Z23" si="17">IF(Y20="","",IF(R10&lt;&gt;"",1,0))</f>
        <v>0</v>
      </c>
      <c r="AA20" s="572">
        <f t="shared" ref="AA20:AA23" si="18">IF(Z20="","",IF(S10&lt;&gt;"",1,0))</f>
        <v>0</v>
      </c>
      <c r="AB20" s="572">
        <f t="shared" ref="AB20:AB23" si="19">IF(R20="","",PRODUCT(S20:AA20))</f>
        <v>0</v>
      </c>
      <c r="AD20" s="332" t="s">
        <v>428</v>
      </c>
      <c r="AE20" s="333"/>
      <c r="AF20" s="333"/>
      <c r="AG20" s="333"/>
      <c r="AH20" s="333"/>
      <c r="AI20" s="333"/>
      <c r="AJ20" s="333"/>
      <c r="AK20" s="333"/>
      <c r="AL20" s="333"/>
      <c r="AM20" s="333"/>
      <c r="AN20" s="333"/>
      <c r="AO20" s="333"/>
      <c r="AP20" s="338">
        <v>3.5</v>
      </c>
    </row>
    <row r="21" spans="2:51" customFormat="1" ht="15.75" x14ac:dyDescent="0.25">
      <c r="B21" s="80"/>
      <c r="C21" s="80"/>
      <c r="D21" s="80"/>
      <c r="E21" s="80"/>
      <c r="F21" s="80"/>
      <c r="G21" s="80"/>
      <c r="H21" s="80"/>
      <c r="I21" s="80"/>
      <c r="J21" s="80"/>
      <c r="K21" s="140"/>
      <c r="L21" s="140"/>
      <c r="M21" s="140"/>
      <c r="N21" s="140"/>
      <c r="O21" s="140"/>
      <c r="P21" s="140"/>
      <c r="Q21" s="140"/>
      <c r="R21" s="565" t="str">
        <f>C11</f>
        <v/>
      </c>
      <c r="S21" s="572" t="str">
        <f t="shared" si="10"/>
        <v/>
      </c>
      <c r="T21" s="572" t="str">
        <f t="shared" si="11"/>
        <v/>
      </c>
      <c r="U21" s="572" t="str">
        <f t="shared" si="12"/>
        <v/>
      </c>
      <c r="V21" s="572" t="str">
        <f t="shared" si="13"/>
        <v/>
      </c>
      <c r="W21" s="572" t="str">
        <f t="shared" si="14"/>
        <v/>
      </c>
      <c r="X21" s="572" t="str">
        <f t="shared" si="15"/>
        <v/>
      </c>
      <c r="Y21" s="572" t="str">
        <f t="shared" si="16"/>
        <v/>
      </c>
      <c r="Z21" s="572" t="str">
        <f t="shared" si="17"/>
        <v/>
      </c>
      <c r="AA21" s="572" t="str">
        <f t="shared" si="18"/>
        <v/>
      </c>
      <c r="AB21" s="572" t="str">
        <f t="shared" si="19"/>
        <v/>
      </c>
      <c r="AD21" s="332" t="s">
        <v>429</v>
      </c>
      <c r="AE21" s="333"/>
      <c r="AF21" s="333"/>
      <c r="AG21" s="333"/>
      <c r="AH21" s="333"/>
      <c r="AI21" s="334"/>
      <c r="AJ21" s="334"/>
      <c r="AK21" s="334"/>
      <c r="AL21" s="333"/>
      <c r="AM21" s="334"/>
      <c r="AN21" s="333"/>
      <c r="AO21" s="333"/>
      <c r="AP21" s="339">
        <v>3</v>
      </c>
      <c r="AQ21" s="80"/>
    </row>
    <row r="22" spans="2:51" x14ac:dyDescent="0.2">
      <c r="K22" s="140"/>
      <c r="L22" s="140"/>
      <c r="M22" s="140"/>
      <c r="N22" s="140"/>
      <c r="O22" s="140"/>
      <c r="P22" s="140"/>
      <c r="Q22" s="140"/>
      <c r="R22" s="565" t="str">
        <f>C12</f>
        <v/>
      </c>
      <c r="S22" s="572" t="str">
        <f t="shared" si="10"/>
        <v/>
      </c>
      <c r="T22" s="572" t="str">
        <f t="shared" si="11"/>
        <v/>
      </c>
      <c r="U22" s="572" t="str">
        <f t="shared" si="12"/>
        <v/>
      </c>
      <c r="V22" s="572" t="str">
        <f t="shared" si="13"/>
        <v/>
      </c>
      <c r="W22" s="572" t="str">
        <f t="shared" si="14"/>
        <v/>
      </c>
      <c r="X22" s="572" t="str">
        <f t="shared" si="15"/>
        <v/>
      </c>
      <c r="Y22" s="572" t="str">
        <f t="shared" si="16"/>
        <v/>
      </c>
      <c r="Z22" s="572" t="str">
        <f t="shared" si="17"/>
        <v/>
      </c>
      <c r="AA22" s="572" t="str">
        <f t="shared" si="18"/>
        <v/>
      </c>
      <c r="AB22" s="572" t="str">
        <f t="shared" si="19"/>
        <v/>
      </c>
      <c r="AD22" s="332" t="s">
        <v>430</v>
      </c>
      <c r="AE22" s="333"/>
      <c r="AF22" s="333"/>
      <c r="AG22" s="333"/>
      <c r="AH22" s="333"/>
      <c r="AI22" s="333"/>
      <c r="AJ22" s="333"/>
      <c r="AK22" s="333"/>
      <c r="AL22" s="333"/>
      <c r="AM22" s="333"/>
      <c r="AN22" s="333"/>
      <c r="AO22" s="333"/>
      <c r="AP22" s="338">
        <v>2.5</v>
      </c>
    </row>
    <row r="23" spans="2:51" ht="15.75" thickBot="1" x14ac:dyDescent="0.25">
      <c r="R23" s="566" t="str">
        <f>C13</f>
        <v/>
      </c>
      <c r="S23" s="572" t="str">
        <f t="shared" si="10"/>
        <v/>
      </c>
      <c r="T23" s="572" t="str">
        <f t="shared" si="11"/>
        <v/>
      </c>
      <c r="U23" s="572" t="str">
        <f t="shared" si="12"/>
        <v/>
      </c>
      <c r="V23" s="572" t="str">
        <f t="shared" si="13"/>
        <v/>
      </c>
      <c r="W23" s="572" t="str">
        <f t="shared" si="14"/>
        <v/>
      </c>
      <c r="X23" s="572" t="str">
        <f t="shared" si="15"/>
        <v/>
      </c>
      <c r="Y23" s="572" t="str">
        <f t="shared" si="16"/>
        <v/>
      </c>
      <c r="Z23" s="572" t="str">
        <f t="shared" si="17"/>
        <v/>
      </c>
      <c r="AA23" s="572" t="str">
        <f t="shared" si="18"/>
        <v/>
      </c>
      <c r="AB23" s="572" t="str">
        <f t="shared" si="19"/>
        <v/>
      </c>
      <c r="AD23" s="332" t="s">
        <v>431</v>
      </c>
      <c r="AE23" s="333"/>
      <c r="AF23" s="333"/>
      <c r="AG23" s="333"/>
      <c r="AH23" s="333"/>
      <c r="AI23" s="333"/>
      <c r="AJ23" s="333"/>
      <c r="AK23" s="333"/>
      <c r="AL23" s="333"/>
      <c r="AM23" s="333"/>
      <c r="AN23" s="333"/>
      <c r="AO23" s="333"/>
      <c r="AP23" s="338">
        <v>2</v>
      </c>
    </row>
    <row r="24" spans="2:51" ht="16.5" thickBot="1" x14ac:dyDescent="0.3">
      <c r="R24" s="567" t="s">
        <v>421</v>
      </c>
      <c r="S24" s="568">
        <f>SUM(S19:S23)</f>
        <v>0</v>
      </c>
      <c r="T24" s="569">
        <f t="shared" ref="T24:AB24" si="20">SUM(T19:T23)</f>
        <v>0</v>
      </c>
      <c r="U24" s="569">
        <f t="shared" si="20"/>
        <v>0</v>
      </c>
      <c r="V24" s="569">
        <f t="shared" si="20"/>
        <v>0</v>
      </c>
      <c r="W24" s="569">
        <f t="shared" si="20"/>
        <v>0</v>
      </c>
      <c r="X24" s="569">
        <f t="shared" si="20"/>
        <v>0</v>
      </c>
      <c r="Y24" s="569">
        <f t="shared" si="20"/>
        <v>2</v>
      </c>
      <c r="Z24" s="569">
        <f t="shared" si="20"/>
        <v>0</v>
      </c>
      <c r="AA24" s="569">
        <f t="shared" si="20"/>
        <v>0</v>
      </c>
      <c r="AB24" s="570">
        <f t="shared" si="20"/>
        <v>0</v>
      </c>
      <c r="AD24" s="332" t="s">
        <v>432</v>
      </c>
      <c r="AE24" s="333"/>
      <c r="AF24" s="333"/>
      <c r="AG24" s="333"/>
      <c r="AH24" s="333"/>
      <c r="AI24" s="333"/>
      <c r="AJ24" s="333"/>
      <c r="AK24" s="333"/>
      <c r="AL24" s="333"/>
      <c r="AM24" s="333"/>
      <c r="AN24" s="333"/>
      <c r="AO24" s="333"/>
      <c r="AP24" s="338">
        <v>1.5</v>
      </c>
    </row>
    <row r="25" spans="2:51" x14ac:dyDescent="0.2">
      <c r="AD25" s="332" t="s">
        <v>433</v>
      </c>
      <c r="AE25" s="333"/>
      <c r="AF25" s="333"/>
      <c r="AG25" s="333"/>
      <c r="AH25" s="333"/>
      <c r="AI25" s="333"/>
      <c r="AJ25" s="333"/>
      <c r="AK25" s="333"/>
      <c r="AL25" s="333"/>
      <c r="AM25" s="333"/>
      <c r="AN25" s="333"/>
      <c r="AO25" s="333"/>
      <c r="AP25" s="338">
        <v>1</v>
      </c>
    </row>
    <row r="26" spans="2:51" x14ac:dyDescent="0.2">
      <c r="AD26" s="332" t="s">
        <v>434</v>
      </c>
      <c r="AE26" s="333"/>
      <c r="AF26" s="333"/>
      <c r="AG26" s="333"/>
      <c r="AH26" s="333"/>
      <c r="AI26" s="333"/>
      <c r="AJ26" s="333"/>
      <c r="AK26" s="333"/>
      <c r="AL26" s="333"/>
      <c r="AM26" s="333"/>
      <c r="AN26" s="333"/>
      <c r="AO26" s="333"/>
      <c r="AP26" s="338">
        <v>0.5</v>
      </c>
    </row>
    <row r="27" spans="2:51" ht="15.75" thickBot="1" x14ac:dyDescent="0.25">
      <c r="AD27" s="335" t="s">
        <v>435</v>
      </c>
      <c r="AE27" s="336"/>
      <c r="AF27" s="336"/>
      <c r="AG27" s="336"/>
      <c r="AH27" s="336"/>
      <c r="AI27" s="336"/>
      <c r="AJ27" s="336"/>
      <c r="AK27" s="336"/>
      <c r="AL27" s="336"/>
      <c r="AM27" s="336"/>
      <c r="AN27" s="336"/>
      <c r="AO27" s="336"/>
      <c r="AP27" s="340">
        <v>0</v>
      </c>
    </row>
  </sheetData>
  <mergeCells count="10">
    <mergeCell ref="AI6:AS7"/>
    <mergeCell ref="AU6:BC7"/>
    <mergeCell ref="C16:F16"/>
    <mergeCell ref="D12:E12"/>
    <mergeCell ref="D13:E13"/>
    <mergeCell ref="AD6:AH7"/>
    <mergeCell ref="D8:E8"/>
    <mergeCell ref="D9:E9"/>
    <mergeCell ref="D10:E10"/>
    <mergeCell ref="D11:E11"/>
  </mergeCells>
  <phoneticPr fontId="57" type="noConversion"/>
  <conditionalFormatting sqref="C9:D13">
    <cfRule type="expression" dxfId="121" priority="28">
      <formula>$C9="n.a."</formula>
    </cfRule>
  </conditionalFormatting>
  <conditionalFormatting sqref="G9:G13">
    <cfRule type="expression" dxfId="120" priority="27">
      <formula>C9&lt;&gt;""</formula>
    </cfRule>
  </conditionalFormatting>
  <conditionalFormatting sqref="S19:AA23">
    <cfRule type="cellIs" dxfId="119" priority="13" operator="equal">
      <formula>0</formula>
    </cfRule>
    <cfRule type="cellIs" dxfId="118" priority="14" operator="equal">
      <formula>1</formula>
    </cfRule>
  </conditionalFormatting>
  <conditionalFormatting sqref="AB19:AB23">
    <cfRule type="cellIs" dxfId="117" priority="7" operator="equal">
      <formula>0</formula>
    </cfRule>
    <cfRule type="cellIs" dxfId="116" priority="8" operator="equal">
      <formula>1</formula>
    </cfRule>
  </conditionalFormatting>
  <conditionalFormatting sqref="F9">
    <cfRule type="cellIs" dxfId="115" priority="2" operator="equal">
      <formula>0</formula>
    </cfRule>
  </conditionalFormatting>
  <conditionalFormatting sqref="F10:F13">
    <cfRule type="cellIs" dxfId="114" priority="1" operator="equal">
      <formula>0</formula>
    </cfRule>
  </conditionalFormatting>
  <pageMargins left="0.7" right="0.7" top="0.78740157499999996" bottom="0.78740157499999996" header="0.3" footer="0.3"/>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topLeftCell="B1" workbookViewId="0">
      <selection activeCell="F9" sqref="F9"/>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9" width="4.125" style="80" customWidth="1"/>
    <col min="10" max="12" width="10.875" style="80"/>
    <col min="13" max="13" width="36" style="80" customWidth="1" outlineLevel="1"/>
    <col min="14" max="14" width="10.875" style="80" outlineLevel="1"/>
    <col min="15" max="15" width="21.875" style="80" customWidth="1" outlineLevel="1"/>
    <col min="16" max="16" width="10.875" style="80" outlineLevel="1"/>
    <col min="17" max="16384" width="10.875" style="80"/>
  </cols>
  <sheetData>
    <row r="1" spans="2:19" s="1" customFormat="1" ht="17.100000000000001" customHeight="1" thickBot="1" x14ac:dyDescent="0.25">
      <c r="C1" s="24"/>
      <c r="D1" s="24"/>
      <c r="E1" s="24"/>
      <c r="G1" s="25"/>
      <c r="H1" s="25"/>
      <c r="K1" s="381"/>
      <c r="L1" s="381"/>
      <c r="M1" s="381"/>
      <c r="N1" s="381"/>
      <c r="O1" s="381"/>
      <c r="P1" s="381"/>
      <c r="Q1" s="381"/>
      <c r="R1" s="381"/>
      <c r="S1" s="381"/>
    </row>
    <row r="2" spans="2:19" s="1" customFormat="1" ht="14.1" customHeight="1" thickBot="1" x14ac:dyDescent="0.25">
      <c r="B2" s="189"/>
      <c r="C2" s="190"/>
      <c r="D2" s="190"/>
      <c r="E2" s="190"/>
      <c r="F2" s="191"/>
      <c r="G2" s="191"/>
      <c r="H2" s="192"/>
      <c r="K2" s="382"/>
      <c r="L2" s="381"/>
      <c r="M2" s="383" t="s">
        <v>44</v>
      </c>
      <c r="N2" s="384"/>
      <c r="O2" s="381"/>
      <c r="P2" s="381" t="s">
        <v>62</v>
      </c>
      <c r="Q2" s="381"/>
      <c r="R2" s="381"/>
      <c r="S2" s="381"/>
    </row>
    <row r="3" spans="2:19" s="1" customFormat="1" ht="17.100000000000001" customHeight="1" x14ac:dyDescent="0.2">
      <c r="B3" s="47"/>
      <c r="C3" s="193" t="s">
        <v>445</v>
      </c>
      <c r="D3" s="193"/>
      <c r="E3" s="193"/>
      <c r="F3" s="193"/>
      <c r="G3" s="193"/>
      <c r="H3" s="194"/>
      <c r="K3" s="382"/>
      <c r="L3" s="381"/>
      <c r="M3" s="385"/>
      <c r="N3" s="386">
        <v>0</v>
      </c>
      <c r="O3" s="381"/>
      <c r="P3" s="381" t="s">
        <v>187</v>
      </c>
      <c r="Q3" s="381"/>
      <c r="R3" s="381"/>
      <c r="S3" s="381"/>
    </row>
    <row r="4" spans="2:19" s="1" customFormat="1" ht="17.100000000000001" customHeight="1" thickBot="1" x14ac:dyDescent="0.25">
      <c r="B4" s="195"/>
      <c r="C4" s="196"/>
      <c r="D4" s="196"/>
      <c r="E4" s="196"/>
      <c r="F4" s="196"/>
      <c r="G4" s="196"/>
      <c r="H4" s="197"/>
      <c r="K4" s="382"/>
      <c r="L4" s="381"/>
      <c r="M4" s="387"/>
      <c r="N4" s="388">
        <v>1</v>
      </c>
      <c r="O4" s="381"/>
      <c r="P4" s="381"/>
      <c r="Q4" s="381"/>
      <c r="R4" s="381"/>
      <c r="S4" s="381"/>
    </row>
    <row r="5" spans="2:19" s="1" customFormat="1" ht="14.1" customHeight="1" thickBot="1" x14ac:dyDescent="0.25">
      <c r="K5" s="381"/>
      <c r="L5" s="381"/>
      <c r="M5" s="387"/>
      <c r="N5" s="388">
        <v>2</v>
      </c>
      <c r="O5" s="381"/>
      <c r="P5" s="381"/>
      <c r="Q5" s="381"/>
      <c r="R5" s="381"/>
      <c r="S5" s="381"/>
    </row>
    <row r="6" spans="2:19" s="1" customFormat="1" ht="13.5" thickBot="1" x14ac:dyDescent="0.25">
      <c r="B6" s="189"/>
      <c r="C6" s="191"/>
      <c r="D6" s="191"/>
      <c r="E6" s="191"/>
      <c r="F6" s="11"/>
      <c r="G6" s="11"/>
      <c r="H6" s="20"/>
      <c r="K6" s="381"/>
      <c r="L6" s="381"/>
      <c r="M6" s="387"/>
      <c r="N6" s="388">
        <v>3</v>
      </c>
      <c r="O6" s="381"/>
      <c r="P6" s="381"/>
      <c r="Q6" s="381"/>
      <c r="R6" s="381"/>
      <c r="S6" s="381"/>
    </row>
    <row r="7" spans="2:19" s="186" customFormat="1" ht="35.1" customHeight="1" thickBot="1" x14ac:dyDescent="0.25">
      <c r="B7" s="201"/>
      <c r="C7" s="216" t="s">
        <v>330</v>
      </c>
      <c r="D7" s="803" t="s">
        <v>110</v>
      </c>
      <c r="E7" s="804"/>
      <c r="F7" s="217" t="s">
        <v>116</v>
      </c>
      <c r="G7" s="38"/>
      <c r="H7" s="21"/>
      <c r="K7" s="389"/>
      <c r="L7" s="389"/>
      <c r="M7" s="387"/>
      <c r="N7" s="388">
        <v>4</v>
      </c>
      <c r="O7" s="381"/>
      <c r="P7" s="389"/>
      <c r="Q7" s="389"/>
      <c r="R7" s="389"/>
      <c r="S7" s="389"/>
    </row>
    <row r="8" spans="2:19" ht="33.950000000000003" customHeight="1" thickBot="1" x14ac:dyDescent="0.25">
      <c r="B8" s="204">
        <f>'Unos podataka'!F14</f>
        <v>1</v>
      </c>
      <c r="C8" s="207" t="str">
        <f>'Unos podataka'!G14</f>
        <v># 1</v>
      </c>
      <c r="D8" s="805">
        <f>IF(B8&lt;&gt;"",'Unos podataka'!H14,"")</f>
        <v>0</v>
      </c>
      <c r="E8" s="802"/>
      <c r="F8" s="573" t="s">
        <v>187</v>
      </c>
      <c r="G8" s="574"/>
      <c r="H8" s="254">
        <f>IF(F8=$P$3,1,0)</f>
        <v>1</v>
      </c>
      <c r="K8" s="390"/>
      <c r="L8" s="390"/>
      <c r="M8" s="387"/>
      <c r="N8" s="388">
        <v>5</v>
      </c>
      <c r="O8" s="381"/>
      <c r="P8" s="390"/>
      <c r="Q8" s="390"/>
      <c r="R8" s="390"/>
      <c r="S8" s="390"/>
    </row>
    <row r="9" spans="2:19" ht="33.950000000000003" customHeight="1" thickBot="1" x14ac:dyDescent="0.25">
      <c r="B9" s="204">
        <f>'Unos podataka'!F15</f>
        <v>1</v>
      </c>
      <c r="C9" s="207" t="str">
        <f>'Unos podataka'!G15</f>
        <v># 2</v>
      </c>
      <c r="D9" s="805">
        <f>IF(B9&lt;&gt;"",'Unos podataka'!H15,"")</f>
        <v>0</v>
      </c>
      <c r="E9" s="802"/>
      <c r="F9" s="573" t="s">
        <v>187</v>
      </c>
      <c r="G9" s="574"/>
      <c r="H9" s="254">
        <f>IF(F9=$P$3,1,0)</f>
        <v>1</v>
      </c>
      <c r="K9" s="390"/>
      <c r="L9" s="390"/>
      <c r="M9" s="391"/>
      <c r="N9" s="392" t="s">
        <v>187</v>
      </c>
      <c r="O9" s="381"/>
      <c r="P9" s="390"/>
      <c r="Q9" s="390"/>
      <c r="R9" s="390"/>
      <c r="S9" s="390"/>
    </row>
    <row r="10" spans="2:19" ht="33.950000000000003" customHeight="1" thickBot="1" x14ac:dyDescent="0.25">
      <c r="B10" s="204" t="str">
        <f>'Unos podataka'!F16</f>
        <v/>
      </c>
      <c r="C10" s="207" t="str">
        <f>'Unos podataka'!G16</f>
        <v/>
      </c>
      <c r="D10" s="805" t="str">
        <f>IF(B10&lt;&gt;"",'Unos podataka'!H16,"")</f>
        <v/>
      </c>
      <c r="E10" s="802"/>
      <c r="F10" s="573" t="s">
        <v>59</v>
      </c>
      <c r="G10" s="574"/>
      <c r="H10" s="254">
        <f t="shared" ref="H10:H12" si="0">IF(F10=$P$3,1,0)</f>
        <v>0</v>
      </c>
      <c r="K10" s="390"/>
      <c r="L10" s="390"/>
      <c r="M10" s="390"/>
      <c r="N10" s="390"/>
      <c r="O10" s="390"/>
      <c r="P10" s="390"/>
      <c r="Q10" s="390"/>
      <c r="R10" s="390"/>
      <c r="S10" s="390"/>
    </row>
    <row r="11" spans="2:19" ht="33.950000000000003" customHeight="1" thickBot="1" x14ac:dyDescent="0.25">
      <c r="B11" s="204" t="str">
        <f>'Unos podataka'!F17</f>
        <v/>
      </c>
      <c r="C11" s="207" t="str">
        <f>'Unos podataka'!G17</f>
        <v/>
      </c>
      <c r="D11" s="805" t="str">
        <f>IF(B11&lt;&gt;"",'Unos podataka'!H17,"")</f>
        <v/>
      </c>
      <c r="E11" s="802"/>
      <c r="F11" s="573" t="s">
        <v>59</v>
      </c>
      <c r="G11" s="574"/>
      <c r="H11" s="254">
        <f t="shared" si="0"/>
        <v>0</v>
      </c>
      <c r="K11" s="390"/>
      <c r="L11" s="390"/>
      <c r="M11" s="390"/>
      <c r="N11" s="390"/>
      <c r="O11" s="390"/>
      <c r="P11" s="390"/>
      <c r="Q11" s="390"/>
      <c r="R11" s="390"/>
      <c r="S11" s="390"/>
    </row>
    <row r="12" spans="2:19" ht="33.950000000000003" customHeight="1" thickBot="1" x14ac:dyDescent="0.25">
      <c r="B12" s="204" t="str">
        <f>'Unos podataka'!F18</f>
        <v/>
      </c>
      <c r="C12" s="222" t="str">
        <f>'Unos podataka'!G18</f>
        <v/>
      </c>
      <c r="D12" s="805" t="str">
        <f>IF(B12&lt;&gt;"",'Unos podataka'!H18,"")</f>
        <v/>
      </c>
      <c r="E12" s="802"/>
      <c r="F12" s="573" t="s">
        <v>59</v>
      </c>
      <c r="G12" s="574"/>
      <c r="H12" s="254">
        <f t="shared" si="0"/>
        <v>0</v>
      </c>
      <c r="K12" s="390"/>
      <c r="L12" s="390"/>
      <c r="M12" s="390"/>
      <c r="N12" s="390"/>
      <c r="O12" s="390"/>
      <c r="P12" s="390"/>
      <c r="Q12" s="390"/>
      <c r="R12" s="390"/>
      <c r="S12" s="390"/>
    </row>
    <row r="13" spans="2:19" ht="14.1" customHeight="1" thickBot="1" x14ac:dyDescent="0.25">
      <c r="B13" s="211"/>
      <c r="C13" s="51"/>
      <c r="D13" s="51"/>
      <c r="E13" s="51"/>
      <c r="F13" s="51"/>
      <c r="G13" s="51"/>
      <c r="H13" s="212"/>
      <c r="K13" s="390"/>
      <c r="L13" s="390"/>
      <c r="M13" s="390"/>
      <c r="N13" s="390"/>
      <c r="O13" s="390"/>
      <c r="P13" s="390"/>
      <c r="Q13" s="390"/>
      <c r="R13" s="390"/>
      <c r="S13" s="390"/>
    </row>
    <row r="14" spans="2:19" ht="15.75" thickBot="1" x14ac:dyDescent="0.25"/>
    <row r="15" spans="2:19" x14ac:dyDescent="0.2">
      <c r="B15" s="249"/>
      <c r="C15" s="250"/>
      <c r="D15" s="250"/>
      <c r="E15" s="250"/>
      <c r="F15" s="250"/>
      <c r="G15" s="250"/>
      <c r="H15" s="251"/>
    </row>
    <row r="16" spans="2:19" ht="18" x14ac:dyDescent="0.25">
      <c r="B16" s="45"/>
      <c r="C16" s="236" t="s">
        <v>472</v>
      </c>
      <c r="D16" s="46"/>
      <c r="E16" s="46"/>
      <c r="F16" s="46"/>
      <c r="G16" s="46"/>
      <c r="H16" s="49"/>
      <c r="M16" s="208"/>
    </row>
    <row r="17" spans="2:8" ht="15.75" thickBot="1" x14ac:dyDescent="0.25">
      <c r="B17" s="45"/>
      <c r="C17" s="46"/>
      <c r="D17" s="46"/>
      <c r="E17" s="46"/>
      <c r="F17" s="46"/>
      <c r="G17" s="46"/>
      <c r="H17" s="49"/>
    </row>
    <row r="18" spans="2:8" ht="33.950000000000003" customHeight="1" thickBot="1" x14ac:dyDescent="0.25">
      <c r="B18" s="45"/>
      <c r="C18" s="361" t="s">
        <v>447</v>
      </c>
      <c r="D18" s="848" t="s">
        <v>446</v>
      </c>
      <c r="E18" s="848"/>
      <c r="F18" s="848"/>
      <c r="G18" s="849"/>
      <c r="H18" s="252"/>
    </row>
    <row r="19" spans="2:8" ht="16.5" thickBot="1" x14ac:dyDescent="0.25">
      <c r="B19" s="45"/>
      <c r="C19" s="359"/>
      <c r="D19" s="359"/>
      <c r="E19" s="360"/>
      <c r="F19" s="360"/>
      <c r="G19" s="360"/>
      <c r="H19" s="252"/>
    </row>
    <row r="20" spans="2:8" ht="33.950000000000003" customHeight="1" thickBot="1" x14ac:dyDescent="0.25">
      <c r="B20" s="45"/>
      <c r="C20" s="361" t="s">
        <v>448</v>
      </c>
      <c r="D20" s="848" t="s">
        <v>453</v>
      </c>
      <c r="E20" s="848"/>
      <c r="F20" s="848"/>
      <c r="G20" s="849"/>
      <c r="H20" s="252"/>
    </row>
    <row r="21" spans="2:8" ht="16.5" thickBot="1" x14ac:dyDescent="0.25">
      <c r="B21" s="45"/>
      <c r="C21" s="359"/>
      <c r="D21" s="359"/>
      <c r="E21" s="360"/>
      <c r="F21" s="360"/>
      <c r="G21" s="360"/>
      <c r="H21" s="252"/>
    </row>
    <row r="22" spans="2:8" ht="33.950000000000003" customHeight="1" thickBot="1" x14ac:dyDescent="0.25">
      <c r="B22" s="45"/>
      <c r="C22" s="361" t="s">
        <v>449</v>
      </c>
      <c r="D22" s="848" t="s">
        <v>454</v>
      </c>
      <c r="E22" s="848"/>
      <c r="F22" s="848"/>
      <c r="G22" s="849"/>
      <c r="H22" s="252"/>
    </row>
    <row r="23" spans="2:8" ht="16.5" thickBot="1" x14ac:dyDescent="0.25">
      <c r="B23" s="45"/>
      <c r="C23" s="359"/>
      <c r="D23" s="359"/>
      <c r="E23" s="360"/>
      <c r="F23" s="360"/>
      <c r="G23" s="360"/>
      <c r="H23" s="252"/>
    </row>
    <row r="24" spans="2:8" ht="51" customHeight="1" thickBot="1" x14ac:dyDescent="0.25">
      <c r="B24" s="45"/>
      <c r="C24" s="361" t="s">
        <v>450</v>
      </c>
      <c r="D24" s="848" t="s">
        <v>455</v>
      </c>
      <c r="E24" s="848"/>
      <c r="F24" s="848"/>
      <c r="G24" s="849"/>
      <c r="H24" s="252"/>
    </row>
    <row r="25" spans="2:8" ht="16.5" thickBot="1" x14ac:dyDescent="0.25">
      <c r="B25" s="45"/>
      <c r="C25" s="359"/>
      <c r="D25" s="359"/>
      <c r="E25" s="360"/>
      <c r="F25" s="360"/>
      <c r="G25" s="360"/>
      <c r="H25" s="252"/>
    </row>
    <row r="26" spans="2:8" ht="33.950000000000003" customHeight="1" thickBot="1" x14ac:dyDescent="0.25">
      <c r="B26" s="45"/>
      <c r="C26" s="361" t="s">
        <v>451</v>
      </c>
      <c r="D26" s="848" t="s">
        <v>456</v>
      </c>
      <c r="E26" s="848"/>
      <c r="F26" s="848"/>
      <c r="G26" s="849"/>
      <c r="H26" s="252"/>
    </row>
    <row r="27" spans="2:8" ht="16.5" thickBot="1" x14ac:dyDescent="0.25">
      <c r="B27" s="45"/>
      <c r="C27" s="359"/>
      <c r="D27" s="359"/>
      <c r="E27" s="360"/>
      <c r="F27" s="360"/>
      <c r="G27" s="360"/>
      <c r="H27" s="252"/>
    </row>
    <row r="28" spans="2:8" ht="33.950000000000003" customHeight="1" thickBot="1" x14ac:dyDescent="0.25">
      <c r="B28" s="45"/>
      <c r="C28" s="361" t="s">
        <v>452</v>
      </c>
      <c r="D28" s="848" t="s">
        <v>457</v>
      </c>
      <c r="E28" s="848"/>
      <c r="F28" s="848"/>
      <c r="G28" s="849"/>
      <c r="H28" s="252"/>
    </row>
    <row r="29" spans="2:8" ht="15.75" thickBot="1" x14ac:dyDescent="0.25">
      <c r="B29" s="211"/>
      <c r="C29" s="51"/>
      <c r="D29" s="51"/>
      <c r="E29" s="51"/>
      <c r="F29" s="51"/>
      <c r="G29" s="51"/>
      <c r="H29" s="212"/>
    </row>
    <row r="30" spans="2:8" ht="15.75" thickBot="1" x14ac:dyDescent="0.25"/>
    <row r="31" spans="2:8" x14ac:dyDescent="0.2">
      <c r="B31" s="249"/>
      <c r="C31" s="250"/>
      <c r="D31" s="250"/>
      <c r="E31" s="250"/>
      <c r="F31" s="250"/>
      <c r="G31" s="250"/>
      <c r="H31" s="251"/>
    </row>
    <row r="32" spans="2:8" ht="23.25" x14ac:dyDescent="0.35">
      <c r="B32" s="45"/>
      <c r="C32" s="796" t="str">
        <f>IF(C8="","",IF(SUMPRODUCT(B8:B12,H8:H12)&lt;&gt;0,"Evaluation of criterion not completed!", "All river stretches evaluated!"))</f>
        <v>Evaluation of criterion not completed!</v>
      </c>
      <c r="D32" s="796"/>
      <c r="E32" s="796"/>
      <c r="F32" s="796"/>
      <c r="G32" s="674">
        <f>IF(C8="",0,IF(SUMPRODUCT(B8:B12,H8:H12)&lt;&gt;0,0,1))</f>
        <v>0</v>
      </c>
      <c r="H32" s="49"/>
    </row>
    <row r="33" spans="2:8" ht="15.75" thickBot="1" x14ac:dyDescent="0.25">
      <c r="B33" s="211"/>
      <c r="C33" s="51"/>
      <c r="D33" s="51"/>
      <c r="E33" s="51"/>
      <c r="F33" s="51"/>
      <c r="G33" s="51"/>
      <c r="H33" s="212"/>
    </row>
  </sheetData>
  <sheetProtection selectLockedCells="1"/>
  <mergeCells count="13">
    <mergeCell ref="D12:E12"/>
    <mergeCell ref="D7:E7"/>
    <mergeCell ref="D8:E8"/>
    <mergeCell ref="D9:E9"/>
    <mergeCell ref="D10:E10"/>
    <mergeCell ref="D11:E11"/>
    <mergeCell ref="D28:G28"/>
    <mergeCell ref="C32:F32"/>
    <mergeCell ref="D18:G18"/>
    <mergeCell ref="D20:G20"/>
    <mergeCell ref="D22:G22"/>
    <mergeCell ref="D24:G24"/>
    <mergeCell ref="D26:G26"/>
  </mergeCells>
  <conditionalFormatting sqref="C8:C12">
    <cfRule type="expression" dxfId="113" priority="31">
      <formula>$C8="n.a."</formula>
    </cfRule>
  </conditionalFormatting>
  <conditionalFormatting sqref="C32 F32">
    <cfRule type="expression" dxfId="112" priority="23">
      <formula>SUMPRODUCT($B$8:$B$12,$H$8:$H$12)=0</formula>
    </cfRule>
  </conditionalFormatting>
  <conditionalFormatting sqref="F8">
    <cfRule type="expression" dxfId="111" priority="13">
      <formula>B8=""</formula>
    </cfRule>
  </conditionalFormatting>
  <conditionalFormatting sqref="F8">
    <cfRule type="expression" dxfId="110" priority="14">
      <formula>F8=$P$3</formula>
    </cfRule>
  </conditionalFormatting>
  <conditionalFormatting sqref="F9">
    <cfRule type="expression" dxfId="109" priority="7">
      <formula>B9=""</formula>
    </cfRule>
  </conditionalFormatting>
  <conditionalFormatting sqref="F9">
    <cfRule type="expression" dxfId="108" priority="8">
      <formula>F9=$P$3</formula>
    </cfRule>
  </conditionalFormatting>
  <conditionalFormatting sqref="F10">
    <cfRule type="expression" dxfId="107" priority="5">
      <formula>B10=""</formula>
    </cfRule>
  </conditionalFormatting>
  <conditionalFormatting sqref="F10">
    <cfRule type="expression" dxfId="106" priority="6">
      <formula>F10=$P$3</formula>
    </cfRule>
  </conditionalFormatting>
  <conditionalFormatting sqref="F11">
    <cfRule type="expression" dxfId="105" priority="3">
      <formula>B11=""</formula>
    </cfRule>
  </conditionalFormatting>
  <conditionalFormatting sqref="F11">
    <cfRule type="expression" dxfId="104" priority="4">
      <formula>F11=$P$3</formula>
    </cfRule>
  </conditionalFormatting>
  <conditionalFormatting sqref="F12">
    <cfRule type="expression" dxfId="103" priority="1">
      <formula>B12=""</formula>
    </cfRule>
  </conditionalFormatting>
  <conditionalFormatting sqref="F12">
    <cfRule type="expression" dxfId="102" priority="2">
      <formula>F12=$P$3</formula>
    </cfRule>
  </conditionalFormatting>
  <dataValidations count="3">
    <dataValidation type="list" allowBlank="1" showInputMessage="1" showErrorMessage="1" error="Wrong input!" prompt="Please select scoring based on your criterion assessment" sqref="F10:F12">
      <formula1>$N$3:$N$9</formula1>
    </dataValidation>
    <dataValidation type="list" allowBlank="1" showInputMessage="1" showErrorMessage="1" error="Wrong input!" prompt="Izaberi ocjenu " sqref="F8">
      <formula1>$N$3:$N$9</formula1>
    </dataValidation>
    <dataValidation type="list" allowBlank="1" showInputMessage="1" showErrorMessage="1" error="Wrong input!" prompt="Izaberi ocjenu" sqref="F9">
      <formula1>$N$3:$N$9</formula1>
    </dataValidation>
  </dataValidation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topLeftCell="B1" workbookViewId="0">
      <selection activeCell="F9" sqref="F9"/>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9" width="4.125" style="80" customWidth="1"/>
    <col min="10" max="12" width="10.875" style="80"/>
    <col min="13" max="13" width="36" style="80" customWidth="1" outlineLevel="1"/>
    <col min="14" max="14" width="10.875" style="80" customWidth="1" outlineLevel="1"/>
    <col min="15" max="15" width="21.875" style="80" customWidth="1" outlineLevel="1"/>
    <col min="16" max="16" width="10.875" style="80" customWidth="1" outlineLevel="1"/>
    <col min="17" max="16384" width="10.875" style="80"/>
  </cols>
  <sheetData>
    <row r="1" spans="2:19" s="1" customFormat="1" ht="17.100000000000001" customHeight="1" thickBot="1" x14ac:dyDescent="0.25">
      <c r="C1" s="24"/>
      <c r="D1" s="24"/>
      <c r="E1" s="24"/>
      <c r="G1" s="25"/>
      <c r="H1" s="25"/>
      <c r="K1" s="381"/>
      <c r="L1" s="381"/>
      <c r="M1" s="381"/>
      <c r="N1" s="381"/>
      <c r="O1" s="381"/>
      <c r="P1" s="381"/>
      <c r="Q1" s="381"/>
      <c r="R1" s="381"/>
      <c r="S1" s="381"/>
    </row>
    <row r="2" spans="2:19" s="1" customFormat="1" ht="14.1" customHeight="1" thickBot="1" x14ac:dyDescent="0.25">
      <c r="B2" s="189"/>
      <c r="C2" s="190"/>
      <c r="D2" s="190"/>
      <c r="E2" s="190"/>
      <c r="F2" s="191"/>
      <c r="G2" s="191"/>
      <c r="H2" s="192"/>
      <c r="K2" s="382"/>
      <c r="L2" s="381"/>
      <c r="M2" s="383" t="s">
        <v>44</v>
      </c>
      <c r="N2" s="384"/>
      <c r="O2" s="381"/>
      <c r="P2" s="381" t="s">
        <v>62</v>
      </c>
      <c r="Q2" s="381"/>
      <c r="R2" s="381"/>
      <c r="S2" s="381"/>
    </row>
    <row r="3" spans="2:19" s="1" customFormat="1" ht="17.100000000000001" customHeight="1" x14ac:dyDescent="0.2">
      <c r="B3" s="47"/>
      <c r="C3" s="193" t="s">
        <v>458</v>
      </c>
      <c r="D3" s="193"/>
      <c r="E3" s="193"/>
      <c r="F3" s="193"/>
      <c r="G3" s="193"/>
      <c r="H3" s="194"/>
      <c r="K3" s="382"/>
      <c r="L3" s="381"/>
      <c r="M3" s="385"/>
      <c r="N3" s="386">
        <v>0</v>
      </c>
      <c r="O3" s="381"/>
      <c r="P3" s="381" t="s">
        <v>187</v>
      </c>
      <c r="Q3" s="381"/>
      <c r="R3" s="381"/>
      <c r="S3" s="381"/>
    </row>
    <row r="4" spans="2:19" s="1" customFormat="1" ht="17.100000000000001" customHeight="1" thickBot="1" x14ac:dyDescent="0.25">
      <c r="B4" s="195"/>
      <c r="C4" s="196"/>
      <c r="D4" s="196"/>
      <c r="E4" s="196"/>
      <c r="F4" s="196"/>
      <c r="G4" s="196"/>
      <c r="H4" s="197"/>
      <c r="K4" s="382"/>
      <c r="L4" s="381"/>
      <c r="M4" s="387"/>
      <c r="N4" s="388">
        <v>1</v>
      </c>
      <c r="O4" s="381"/>
      <c r="P4" s="381"/>
      <c r="Q4" s="381"/>
      <c r="R4" s="381"/>
      <c r="S4" s="381"/>
    </row>
    <row r="5" spans="2:19" s="1" customFormat="1" ht="14.1" customHeight="1" thickBot="1" x14ac:dyDescent="0.25">
      <c r="K5" s="381"/>
      <c r="L5" s="381"/>
      <c r="M5" s="387"/>
      <c r="N5" s="388">
        <v>2</v>
      </c>
      <c r="O5" s="381"/>
      <c r="P5" s="381"/>
      <c r="Q5" s="381"/>
      <c r="R5" s="381"/>
      <c r="S5" s="381"/>
    </row>
    <row r="6" spans="2:19" s="1" customFormat="1" ht="13.5" thickBot="1" x14ac:dyDescent="0.25">
      <c r="B6" s="189"/>
      <c r="C6" s="191"/>
      <c r="D6" s="191"/>
      <c r="E6" s="191"/>
      <c r="F6" s="11"/>
      <c r="G6" s="11"/>
      <c r="H6" s="20"/>
      <c r="K6" s="381"/>
      <c r="L6" s="381"/>
      <c r="M6" s="387"/>
      <c r="N6" s="388">
        <v>3</v>
      </c>
      <c r="O6" s="381"/>
      <c r="P6" s="381"/>
      <c r="Q6" s="381"/>
      <c r="R6" s="381"/>
      <c r="S6" s="381"/>
    </row>
    <row r="7" spans="2:19" s="186" customFormat="1" ht="35.1" customHeight="1" thickBot="1" x14ac:dyDescent="0.25">
      <c r="B7" s="580"/>
      <c r="C7" s="216" t="s">
        <v>330</v>
      </c>
      <c r="D7" s="803" t="s">
        <v>110</v>
      </c>
      <c r="E7" s="804"/>
      <c r="F7" s="217" t="s">
        <v>116</v>
      </c>
      <c r="G7" s="574"/>
      <c r="H7" s="579"/>
      <c r="K7" s="389"/>
      <c r="L7" s="389"/>
      <c r="M7" s="387"/>
      <c r="N7" s="388">
        <v>4</v>
      </c>
      <c r="O7" s="381"/>
      <c r="P7" s="389"/>
      <c r="Q7" s="389"/>
      <c r="R7" s="389"/>
      <c r="S7" s="389"/>
    </row>
    <row r="8" spans="2:19" ht="33.950000000000003" customHeight="1" thickBot="1" x14ac:dyDescent="0.25">
      <c r="B8" s="563">
        <f>'Unos podataka'!F14</f>
        <v>1</v>
      </c>
      <c r="C8" s="207" t="str">
        <f>'Unos podataka'!G14</f>
        <v># 1</v>
      </c>
      <c r="D8" s="805">
        <f>IF(B8&lt;&gt;"",'Unos podataka'!H14,"")</f>
        <v>0</v>
      </c>
      <c r="E8" s="802"/>
      <c r="F8" s="573" t="s">
        <v>187</v>
      </c>
      <c r="G8" s="574"/>
      <c r="H8" s="254">
        <f>IF(F8=$P$3,1,0)</f>
        <v>1</v>
      </c>
      <c r="K8" s="669"/>
      <c r="L8" s="390"/>
      <c r="M8" s="387"/>
      <c r="N8" s="388">
        <v>5</v>
      </c>
      <c r="O8" s="381"/>
      <c r="P8" s="390"/>
      <c r="Q8" s="390"/>
      <c r="R8" s="390"/>
      <c r="S8" s="390"/>
    </row>
    <row r="9" spans="2:19" ht="33.950000000000003" customHeight="1" thickBot="1" x14ac:dyDescent="0.25">
      <c r="B9" s="563">
        <f>'Unos podataka'!F15</f>
        <v>1</v>
      </c>
      <c r="C9" s="207" t="str">
        <f>'Unos podataka'!G15</f>
        <v># 2</v>
      </c>
      <c r="D9" s="805">
        <f>IF(B9&lt;&gt;"",'Unos podataka'!H15,"")</f>
        <v>0</v>
      </c>
      <c r="E9" s="802"/>
      <c r="F9" s="573" t="s">
        <v>187</v>
      </c>
      <c r="G9" s="574"/>
      <c r="H9" s="254">
        <f>IF(F9=$P$3,1,0)</f>
        <v>1</v>
      </c>
      <c r="K9" s="390"/>
      <c r="L9" s="390"/>
      <c r="M9" s="391"/>
      <c r="N9" s="392" t="s">
        <v>187</v>
      </c>
      <c r="O9" s="381"/>
      <c r="P9" s="390"/>
      <c r="Q9" s="390"/>
      <c r="R9" s="390"/>
      <c r="S9" s="390"/>
    </row>
    <row r="10" spans="2:19" ht="33.950000000000003" customHeight="1" thickBot="1" x14ac:dyDescent="0.25">
      <c r="B10" s="563" t="str">
        <f>'Unos podataka'!F16</f>
        <v/>
      </c>
      <c r="C10" s="207" t="str">
        <f>'Unos podataka'!G16</f>
        <v/>
      </c>
      <c r="D10" s="805" t="str">
        <f>IF(B10&lt;&gt;"",'Unos podataka'!H16,"")</f>
        <v/>
      </c>
      <c r="E10" s="802"/>
      <c r="F10" s="573" t="s">
        <v>59</v>
      </c>
      <c r="G10" s="574"/>
      <c r="H10" s="254">
        <f t="shared" ref="H10:H12" si="0">IF(F10=$P$3,1,0)</f>
        <v>0</v>
      </c>
      <c r="K10" s="390"/>
      <c r="L10" s="390"/>
      <c r="M10" s="390"/>
      <c r="N10" s="390"/>
      <c r="O10" s="390"/>
      <c r="P10" s="390"/>
      <c r="Q10" s="390"/>
      <c r="R10" s="390"/>
      <c r="S10" s="390"/>
    </row>
    <row r="11" spans="2:19" ht="33.950000000000003" customHeight="1" thickBot="1" x14ac:dyDescent="0.25">
      <c r="B11" s="563" t="str">
        <f>'Unos podataka'!F17</f>
        <v/>
      </c>
      <c r="C11" s="207" t="str">
        <f>'Unos podataka'!G17</f>
        <v/>
      </c>
      <c r="D11" s="805" t="str">
        <f>IF(B11&lt;&gt;"",'Unos podataka'!H17,"")</f>
        <v/>
      </c>
      <c r="E11" s="802"/>
      <c r="F11" s="573" t="s">
        <v>59</v>
      </c>
      <c r="G11" s="574"/>
      <c r="H11" s="254">
        <f t="shared" si="0"/>
        <v>0</v>
      </c>
      <c r="K11" s="390"/>
      <c r="L11" s="390"/>
      <c r="M11" s="390"/>
      <c r="N11" s="390"/>
      <c r="O11" s="390"/>
      <c r="P11" s="390"/>
      <c r="Q11" s="390"/>
      <c r="R11" s="390"/>
      <c r="S11" s="390"/>
    </row>
    <row r="12" spans="2:19" ht="33.950000000000003" customHeight="1" thickBot="1" x14ac:dyDescent="0.25">
      <c r="B12" s="563" t="str">
        <f>'Unos podataka'!F18</f>
        <v/>
      </c>
      <c r="C12" s="222" t="str">
        <f>'Unos podataka'!G18</f>
        <v/>
      </c>
      <c r="D12" s="805" t="str">
        <f>IF(B12&lt;&gt;"",'Unos podataka'!H18,"")</f>
        <v/>
      </c>
      <c r="E12" s="802"/>
      <c r="F12" s="573" t="s">
        <v>59</v>
      </c>
      <c r="G12" s="574"/>
      <c r="H12" s="254">
        <f t="shared" si="0"/>
        <v>0</v>
      </c>
      <c r="K12" s="390"/>
      <c r="L12" s="390"/>
      <c r="M12" s="390"/>
      <c r="N12" s="390"/>
      <c r="O12" s="390"/>
      <c r="P12" s="390"/>
      <c r="Q12" s="390"/>
      <c r="R12" s="390"/>
      <c r="S12" s="390"/>
    </row>
    <row r="13" spans="2:19" ht="14.1" customHeight="1" thickBot="1" x14ac:dyDescent="0.25">
      <c r="B13" s="211"/>
      <c r="C13" s="51"/>
      <c r="D13" s="51"/>
      <c r="E13" s="51"/>
      <c r="F13" s="51"/>
      <c r="G13" s="51"/>
      <c r="H13" s="212"/>
      <c r="K13" s="390"/>
      <c r="L13" s="390"/>
      <c r="M13" s="390"/>
      <c r="N13" s="390"/>
      <c r="O13" s="390"/>
      <c r="P13" s="390"/>
      <c r="Q13" s="390"/>
      <c r="R13" s="390"/>
      <c r="S13" s="390"/>
    </row>
    <row r="14" spans="2:19" ht="15.75" thickBot="1" x14ac:dyDescent="0.25"/>
    <row r="15" spans="2:19" x14ac:dyDescent="0.2">
      <c r="B15" s="249"/>
      <c r="C15" s="250"/>
      <c r="D15" s="250"/>
      <c r="E15" s="250"/>
      <c r="F15" s="250"/>
      <c r="G15" s="250"/>
      <c r="H15" s="251"/>
    </row>
    <row r="16" spans="2:19" ht="18" x14ac:dyDescent="0.25">
      <c r="B16" s="45"/>
      <c r="C16" s="236" t="s">
        <v>472</v>
      </c>
      <c r="D16" s="46"/>
      <c r="E16" s="46"/>
      <c r="F16" s="46"/>
      <c r="G16" s="46"/>
      <c r="H16" s="49"/>
      <c r="M16" s="208"/>
    </row>
    <row r="17" spans="2:8" ht="15.75" thickBot="1" x14ac:dyDescent="0.25">
      <c r="B17" s="45"/>
      <c r="C17" s="46"/>
      <c r="D17" s="46"/>
      <c r="E17" s="46"/>
      <c r="F17" s="46"/>
      <c r="G17" s="46"/>
      <c r="H17" s="49"/>
    </row>
    <row r="18" spans="2:8" ht="68.099999999999994" customHeight="1" thickBot="1" x14ac:dyDescent="0.25">
      <c r="B18" s="45"/>
      <c r="C18" s="361" t="s">
        <v>45</v>
      </c>
      <c r="D18" s="848" t="s">
        <v>459</v>
      </c>
      <c r="E18" s="848"/>
      <c r="F18" s="848"/>
      <c r="G18" s="849"/>
      <c r="H18" s="252"/>
    </row>
    <row r="19" spans="2:8" ht="16.5" thickBot="1" x14ac:dyDescent="0.25">
      <c r="B19" s="45"/>
      <c r="C19" s="359"/>
      <c r="D19" s="359"/>
      <c r="E19" s="360"/>
      <c r="F19" s="360"/>
      <c r="G19" s="360"/>
      <c r="H19" s="252"/>
    </row>
    <row r="20" spans="2:8" ht="68.099999999999994" customHeight="1" thickBot="1" x14ac:dyDescent="0.25">
      <c r="B20" s="45"/>
      <c r="C20" s="361" t="s">
        <v>46</v>
      </c>
      <c r="D20" s="848" t="s">
        <v>460</v>
      </c>
      <c r="E20" s="848"/>
      <c r="F20" s="848"/>
      <c r="G20" s="849"/>
      <c r="H20" s="252"/>
    </row>
    <row r="21" spans="2:8" ht="16.5" thickBot="1" x14ac:dyDescent="0.25">
      <c r="B21" s="45"/>
      <c r="C21" s="359"/>
      <c r="D21" s="359"/>
      <c r="E21" s="360"/>
      <c r="F21" s="360"/>
      <c r="G21" s="360"/>
      <c r="H21" s="252"/>
    </row>
    <row r="22" spans="2:8" ht="51" customHeight="1" thickBot="1" x14ac:dyDescent="0.25">
      <c r="B22" s="45"/>
      <c r="C22" s="361" t="s">
        <v>47</v>
      </c>
      <c r="D22" s="848" t="s">
        <v>461</v>
      </c>
      <c r="E22" s="848"/>
      <c r="F22" s="848"/>
      <c r="G22" s="849"/>
      <c r="H22" s="252"/>
    </row>
    <row r="23" spans="2:8" ht="16.5" thickBot="1" x14ac:dyDescent="0.25">
      <c r="B23" s="45"/>
      <c r="C23" s="359"/>
      <c r="D23" s="359"/>
      <c r="E23" s="360"/>
      <c r="F23" s="360"/>
      <c r="G23" s="360"/>
      <c r="H23" s="252"/>
    </row>
    <row r="24" spans="2:8" ht="51" customHeight="1" thickBot="1" x14ac:dyDescent="0.25">
      <c r="B24" s="45"/>
      <c r="C24" s="361" t="s">
        <v>48</v>
      </c>
      <c r="D24" s="848" t="s">
        <v>462</v>
      </c>
      <c r="E24" s="848"/>
      <c r="F24" s="848"/>
      <c r="G24" s="849"/>
      <c r="H24" s="252"/>
    </row>
    <row r="25" spans="2:8" ht="16.5" thickBot="1" x14ac:dyDescent="0.25">
      <c r="B25" s="45"/>
      <c r="C25" s="359"/>
      <c r="D25" s="359"/>
      <c r="E25" s="360"/>
      <c r="F25" s="360"/>
      <c r="G25" s="360"/>
      <c r="H25" s="252"/>
    </row>
    <row r="26" spans="2:8" ht="51" customHeight="1" thickBot="1" x14ac:dyDescent="0.25">
      <c r="B26" s="45"/>
      <c r="C26" s="361" t="s">
        <v>49</v>
      </c>
      <c r="D26" s="848" t="s">
        <v>463</v>
      </c>
      <c r="E26" s="848"/>
      <c r="F26" s="848"/>
      <c r="G26" s="849"/>
      <c r="H26" s="252"/>
    </row>
    <row r="27" spans="2:8" ht="16.5" thickBot="1" x14ac:dyDescent="0.25">
      <c r="B27" s="45"/>
      <c r="C27" s="359"/>
      <c r="D27" s="359"/>
      <c r="E27" s="360"/>
      <c r="F27" s="360"/>
      <c r="G27" s="360"/>
      <c r="H27" s="252"/>
    </row>
    <row r="28" spans="2:8" ht="51" customHeight="1" thickBot="1" x14ac:dyDescent="0.25">
      <c r="B28" s="45"/>
      <c r="C28" s="361" t="s">
        <v>50</v>
      </c>
      <c r="D28" s="848" t="s">
        <v>464</v>
      </c>
      <c r="E28" s="848"/>
      <c r="F28" s="848"/>
      <c r="G28" s="849"/>
      <c r="H28" s="252"/>
    </row>
    <row r="29" spans="2:8" ht="15.75" thickBot="1" x14ac:dyDescent="0.25">
      <c r="B29" s="211"/>
      <c r="C29" s="51"/>
      <c r="D29" s="51"/>
      <c r="E29" s="51"/>
      <c r="F29" s="51"/>
      <c r="G29" s="51"/>
      <c r="H29" s="212"/>
    </row>
    <row r="30" spans="2:8" ht="15.75" thickBot="1" x14ac:dyDescent="0.25"/>
    <row r="31" spans="2:8" x14ac:dyDescent="0.2">
      <c r="B31" s="249"/>
      <c r="C31" s="250"/>
      <c r="D31" s="250"/>
      <c r="E31" s="250"/>
      <c r="F31" s="250"/>
      <c r="G31" s="250"/>
      <c r="H31" s="251"/>
    </row>
    <row r="32" spans="2:8" ht="23.25" x14ac:dyDescent="0.35">
      <c r="B32" s="45"/>
      <c r="C32" s="796" t="str">
        <f>IF(C8="","",IF(SUMPRODUCT(B8:B12,H8:H12)&lt;&gt;0,"Ocjena kriterija nije završena!", "Sva vodna tijela su ocijenjena!"))</f>
        <v>Ocjena kriterija nije završena!</v>
      </c>
      <c r="D32" s="796"/>
      <c r="E32" s="796"/>
      <c r="F32" s="796"/>
      <c r="G32" s="674">
        <f>IF(C8="",0,IF(SUMPRODUCT(B8:B12,H8:H12)&lt;&gt;0,0,1))</f>
        <v>0</v>
      </c>
      <c r="H32" s="49"/>
    </row>
    <row r="33" spans="2:8" ht="15.75" thickBot="1" x14ac:dyDescent="0.25">
      <c r="B33" s="211"/>
      <c r="C33" s="51"/>
      <c r="D33" s="51"/>
      <c r="E33" s="51"/>
      <c r="F33" s="51"/>
      <c r="G33" s="51"/>
      <c r="H33" s="212"/>
    </row>
  </sheetData>
  <sheetProtection selectLockedCells="1"/>
  <mergeCells count="13">
    <mergeCell ref="D12:E12"/>
    <mergeCell ref="D7:E7"/>
    <mergeCell ref="D8:E8"/>
    <mergeCell ref="D9:E9"/>
    <mergeCell ref="D10:E10"/>
    <mergeCell ref="D11:E11"/>
    <mergeCell ref="D28:G28"/>
    <mergeCell ref="C32:F32"/>
    <mergeCell ref="D18:G18"/>
    <mergeCell ref="D20:G20"/>
    <mergeCell ref="D22:G22"/>
    <mergeCell ref="D24:G24"/>
    <mergeCell ref="D26:G26"/>
  </mergeCells>
  <conditionalFormatting sqref="C8:C12">
    <cfRule type="expression" dxfId="101" priority="15">
      <formula>$C8="n.a."</formula>
    </cfRule>
  </conditionalFormatting>
  <conditionalFormatting sqref="C32 F32">
    <cfRule type="expression" dxfId="100" priority="13">
      <formula>SUMPRODUCT($B$8:$B$12,$H$8:$H$12)=0</formula>
    </cfRule>
  </conditionalFormatting>
  <conditionalFormatting sqref="F8">
    <cfRule type="expression" dxfId="99" priority="11">
      <formula>B8=""</formula>
    </cfRule>
  </conditionalFormatting>
  <conditionalFormatting sqref="F8">
    <cfRule type="expression" dxfId="98" priority="12">
      <formula>F8=$P$3</formula>
    </cfRule>
  </conditionalFormatting>
  <conditionalFormatting sqref="F9">
    <cfRule type="expression" dxfId="97" priority="7">
      <formula>B9=""</formula>
    </cfRule>
  </conditionalFormatting>
  <conditionalFormatting sqref="F9">
    <cfRule type="expression" dxfId="96" priority="8">
      <formula>F9=$P$3</formula>
    </cfRule>
  </conditionalFormatting>
  <conditionalFormatting sqref="F10">
    <cfRule type="expression" dxfId="95" priority="5">
      <formula>B10=""</formula>
    </cfRule>
  </conditionalFormatting>
  <conditionalFormatting sqref="F10">
    <cfRule type="expression" dxfId="94" priority="6">
      <formula>F10=$P$3</formula>
    </cfRule>
  </conditionalFormatting>
  <conditionalFormatting sqref="F11">
    <cfRule type="expression" dxfId="93" priority="3">
      <formula>B11=""</formula>
    </cfRule>
  </conditionalFormatting>
  <conditionalFormatting sqref="F11">
    <cfRule type="expression" dxfId="92" priority="4">
      <formula>F11=$P$3</formula>
    </cfRule>
  </conditionalFormatting>
  <conditionalFormatting sqref="F12">
    <cfRule type="expression" dxfId="91" priority="1">
      <formula>B12=""</formula>
    </cfRule>
  </conditionalFormatting>
  <conditionalFormatting sqref="F12">
    <cfRule type="expression" dxfId="90" priority="2">
      <formula>F12=$P$3</formula>
    </cfRule>
  </conditionalFormatting>
  <dataValidations count="2">
    <dataValidation type="list" allowBlank="1" showInputMessage="1" showErrorMessage="1" error="Wrong input!" prompt="Please select scoring based on your criterion assessment" sqref="F10:F12">
      <formula1>$N$3:$N$9</formula1>
    </dataValidation>
    <dataValidation type="list" allowBlank="1" showInputMessage="1" showErrorMessage="1" error="Wrong input!" prompt="Izaberi ocjenu" sqref="F8 F9">
      <formula1>$N$3:$N$9</formula1>
    </dataValidation>
  </dataValidation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workbookViewId="0">
      <selection activeCell="F9" sqref="F9"/>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9" width="4.125" style="80" customWidth="1"/>
    <col min="10" max="12" width="10.875" style="80"/>
    <col min="13" max="13" width="36" style="80" customWidth="1" outlineLevel="1"/>
    <col min="14" max="14" width="10.875" style="80" outlineLevel="1"/>
    <col min="15" max="15" width="21.875" style="80" customWidth="1" outlineLevel="1"/>
    <col min="16" max="16" width="10.875" style="80" outlineLevel="1"/>
    <col min="17" max="16384" width="10.875" style="80"/>
  </cols>
  <sheetData>
    <row r="1" spans="2:19" s="1" customFormat="1" ht="17.100000000000001" customHeight="1" thickBot="1" x14ac:dyDescent="0.25">
      <c r="C1" s="24"/>
      <c r="D1" s="24"/>
      <c r="E1" s="24"/>
      <c r="G1" s="25"/>
      <c r="H1" s="25"/>
      <c r="K1" s="381"/>
      <c r="L1" s="381"/>
      <c r="M1" s="381"/>
      <c r="N1" s="381"/>
      <c r="O1" s="381"/>
      <c r="P1" s="381"/>
      <c r="Q1" s="381"/>
      <c r="R1" s="381"/>
      <c r="S1" s="381"/>
    </row>
    <row r="2" spans="2:19" s="1" customFormat="1" ht="14.1" customHeight="1" x14ac:dyDescent="0.2">
      <c r="B2" s="189"/>
      <c r="C2" s="190"/>
      <c r="D2" s="190"/>
      <c r="E2" s="190"/>
      <c r="F2" s="191"/>
      <c r="G2" s="191"/>
      <c r="H2" s="192"/>
      <c r="K2" s="382"/>
      <c r="L2" s="381"/>
      <c r="M2" s="383" t="s">
        <v>44</v>
      </c>
      <c r="N2" s="384"/>
      <c r="O2" s="381"/>
      <c r="P2" s="381" t="s">
        <v>62</v>
      </c>
      <c r="Q2" s="381"/>
      <c r="R2" s="381"/>
      <c r="S2" s="381"/>
    </row>
    <row r="3" spans="2:19" s="1" customFormat="1" ht="17.100000000000001" customHeight="1" x14ac:dyDescent="0.2">
      <c r="B3" s="47"/>
      <c r="C3" s="193" t="s">
        <v>465</v>
      </c>
      <c r="D3" s="193"/>
      <c r="E3" s="193"/>
      <c r="F3" s="193"/>
      <c r="G3" s="193"/>
      <c r="H3" s="194"/>
      <c r="K3" s="382"/>
      <c r="L3" s="381"/>
      <c r="M3" s="387"/>
      <c r="N3" s="388">
        <v>1</v>
      </c>
      <c r="O3" s="381"/>
      <c r="P3" s="381" t="s">
        <v>187</v>
      </c>
      <c r="Q3" s="381"/>
      <c r="R3" s="381"/>
      <c r="S3" s="381"/>
    </row>
    <row r="4" spans="2:19" s="1" customFormat="1" ht="17.100000000000001" customHeight="1" thickBot="1" x14ac:dyDescent="0.25">
      <c r="B4" s="195"/>
      <c r="C4" s="196"/>
      <c r="D4" s="196"/>
      <c r="E4" s="196"/>
      <c r="F4" s="196"/>
      <c r="G4" s="196"/>
      <c r="H4" s="197"/>
      <c r="K4" s="382"/>
      <c r="L4" s="381"/>
      <c r="M4" s="387"/>
      <c r="N4" s="388">
        <v>2</v>
      </c>
      <c r="O4" s="381"/>
      <c r="P4" s="381"/>
      <c r="Q4" s="381"/>
      <c r="R4" s="381"/>
      <c r="S4" s="381"/>
    </row>
    <row r="5" spans="2:19" s="1" customFormat="1" ht="14.1" customHeight="1" thickBot="1" x14ac:dyDescent="0.25">
      <c r="K5" s="381"/>
      <c r="L5" s="381"/>
      <c r="M5" s="387"/>
      <c r="N5" s="388">
        <v>3</v>
      </c>
      <c r="O5" s="381"/>
      <c r="P5" s="381"/>
      <c r="Q5" s="381"/>
      <c r="R5" s="381"/>
      <c r="S5" s="381"/>
    </row>
    <row r="6" spans="2:19" s="1" customFormat="1" ht="13.5" thickBot="1" x14ac:dyDescent="0.25">
      <c r="B6" s="189"/>
      <c r="C6" s="191"/>
      <c r="D6" s="191"/>
      <c r="E6" s="191"/>
      <c r="F6" s="11"/>
      <c r="G6" s="11"/>
      <c r="H6" s="20"/>
      <c r="K6" s="381"/>
      <c r="L6" s="381"/>
      <c r="M6" s="387"/>
      <c r="N6" s="388">
        <v>4</v>
      </c>
      <c r="O6" s="381"/>
      <c r="P6" s="381"/>
      <c r="Q6" s="381"/>
      <c r="R6" s="381"/>
      <c r="S6" s="381"/>
    </row>
    <row r="7" spans="2:19" s="186" customFormat="1" ht="35.1" customHeight="1" thickBot="1" x14ac:dyDescent="0.25">
      <c r="B7" s="201"/>
      <c r="C7" s="216" t="s">
        <v>330</v>
      </c>
      <c r="D7" s="803" t="s">
        <v>466</v>
      </c>
      <c r="E7" s="804"/>
      <c r="F7" s="217" t="s">
        <v>116</v>
      </c>
      <c r="G7" s="38"/>
      <c r="H7" s="21"/>
      <c r="K7" s="389"/>
      <c r="L7" s="389"/>
      <c r="M7" s="575"/>
      <c r="N7" s="388">
        <v>5</v>
      </c>
      <c r="O7" s="381"/>
      <c r="P7" s="389"/>
      <c r="Q7" s="389"/>
      <c r="R7" s="389"/>
      <c r="S7" s="389"/>
    </row>
    <row r="8" spans="2:19" ht="33.950000000000003" customHeight="1" thickBot="1" x14ac:dyDescent="0.25">
      <c r="B8" s="204">
        <f>'Unos podataka'!F14</f>
        <v>1</v>
      </c>
      <c r="C8" s="207" t="str">
        <f>'Unos podataka'!G14</f>
        <v># 1</v>
      </c>
      <c r="D8" s="805">
        <f>IF(B8&lt;&gt;"",'Unos podataka'!H14,"")</f>
        <v>0</v>
      </c>
      <c r="E8" s="802"/>
      <c r="F8" s="573" t="s">
        <v>187</v>
      </c>
      <c r="G8" s="38"/>
      <c r="H8" s="254">
        <f>IF(F8=$P$3,1,0)</f>
        <v>1</v>
      </c>
      <c r="J8" s="186"/>
      <c r="K8" s="389"/>
      <c r="L8" s="390"/>
      <c r="M8" s="577"/>
      <c r="N8" s="578" t="s">
        <v>187</v>
      </c>
      <c r="O8" s="381"/>
      <c r="P8" s="390"/>
      <c r="Q8" s="390"/>
      <c r="R8" s="390"/>
      <c r="S8" s="390"/>
    </row>
    <row r="9" spans="2:19" ht="33.950000000000003" customHeight="1" thickBot="1" x14ac:dyDescent="0.25">
      <c r="B9" s="204">
        <f>'Unos podataka'!F15</f>
        <v>1</v>
      </c>
      <c r="C9" s="207" t="str">
        <f>'Unos podataka'!G15</f>
        <v># 2</v>
      </c>
      <c r="D9" s="805">
        <f>IF(B9&lt;&gt;"",'Unos podataka'!H15,"")</f>
        <v>0</v>
      </c>
      <c r="E9" s="802"/>
      <c r="F9" s="573" t="s">
        <v>187</v>
      </c>
      <c r="G9" s="38"/>
      <c r="H9" s="254">
        <f>IF(F9=$P$3,1,0)</f>
        <v>1</v>
      </c>
      <c r="J9" s="186"/>
      <c r="K9" s="389"/>
      <c r="L9" s="390"/>
      <c r="M9" s="390"/>
      <c r="N9" s="390"/>
      <c r="O9" s="381"/>
      <c r="P9" s="390"/>
      <c r="Q9" s="390"/>
      <c r="R9" s="390"/>
      <c r="S9" s="390"/>
    </row>
    <row r="10" spans="2:19" ht="33.950000000000003" customHeight="1" thickBot="1" x14ac:dyDescent="0.25">
      <c r="B10" s="204" t="str">
        <f>'Unos podataka'!F16</f>
        <v/>
      </c>
      <c r="C10" s="207" t="str">
        <f>'Unos podataka'!G16</f>
        <v/>
      </c>
      <c r="D10" s="805" t="str">
        <f>IF(B10&lt;&gt;"",'Unos podataka'!H16,"")</f>
        <v/>
      </c>
      <c r="E10" s="802"/>
      <c r="F10" s="573" t="s">
        <v>59</v>
      </c>
      <c r="G10" s="38"/>
      <c r="H10" s="254">
        <f t="shared" ref="H10:H12" si="0">IF(F10=$P$3,1,0)</f>
        <v>0</v>
      </c>
      <c r="J10" s="186"/>
      <c r="K10" s="389"/>
      <c r="L10" s="390"/>
      <c r="M10" s="390"/>
      <c r="N10" s="390"/>
      <c r="O10" s="390"/>
      <c r="P10" s="390"/>
      <c r="Q10" s="390"/>
      <c r="R10" s="390"/>
      <c r="S10" s="390"/>
    </row>
    <row r="11" spans="2:19" ht="33.950000000000003" customHeight="1" thickBot="1" x14ac:dyDescent="0.25">
      <c r="B11" s="204" t="str">
        <f>'Unos podataka'!F17</f>
        <v/>
      </c>
      <c r="C11" s="207" t="str">
        <f>'Unos podataka'!G17</f>
        <v/>
      </c>
      <c r="D11" s="805" t="str">
        <f>IF(B11&lt;&gt;"",'Unos podataka'!H17,"")</f>
        <v/>
      </c>
      <c r="E11" s="802"/>
      <c r="F11" s="573" t="s">
        <v>59</v>
      </c>
      <c r="G11" s="38"/>
      <c r="H11" s="254">
        <f t="shared" si="0"/>
        <v>0</v>
      </c>
      <c r="J11" s="186"/>
      <c r="K11" s="389"/>
      <c r="L11" s="390"/>
      <c r="M11" s="390"/>
      <c r="N11" s="390"/>
      <c r="O11" s="390"/>
      <c r="P11" s="390"/>
      <c r="Q11" s="390"/>
      <c r="R11" s="390"/>
      <c r="S11" s="390"/>
    </row>
    <row r="12" spans="2:19" ht="33.950000000000003" customHeight="1" thickBot="1" x14ac:dyDescent="0.25">
      <c r="B12" s="204" t="str">
        <f>'Unos podataka'!F18</f>
        <v/>
      </c>
      <c r="C12" s="222" t="str">
        <f>'Unos podataka'!G18</f>
        <v/>
      </c>
      <c r="D12" s="805" t="str">
        <f>IF(B12&lt;&gt;"",'Unos podataka'!H18,"")</f>
        <v/>
      </c>
      <c r="E12" s="802"/>
      <c r="F12" s="573" t="s">
        <v>59</v>
      </c>
      <c r="G12" s="38"/>
      <c r="H12" s="254">
        <f t="shared" si="0"/>
        <v>0</v>
      </c>
      <c r="J12" s="186"/>
      <c r="K12" s="389"/>
      <c r="L12" s="390"/>
      <c r="M12" s="390"/>
      <c r="N12" s="390"/>
      <c r="O12" s="390"/>
      <c r="P12" s="390"/>
      <c r="Q12" s="390"/>
      <c r="R12" s="390"/>
      <c r="S12" s="390"/>
    </row>
    <row r="13" spans="2:19" ht="14.1" customHeight="1" thickBot="1" x14ac:dyDescent="0.25">
      <c r="B13" s="211"/>
      <c r="C13" s="51"/>
      <c r="D13" s="51"/>
      <c r="E13" s="51"/>
      <c r="F13" s="51"/>
      <c r="G13" s="51"/>
      <c r="H13" s="212"/>
      <c r="K13" s="390"/>
      <c r="L13" s="390"/>
      <c r="O13" s="390"/>
      <c r="P13" s="390"/>
      <c r="Q13" s="390"/>
      <c r="R13" s="390"/>
      <c r="S13" s="390"/>
    </row>
    <row r="14" spans="2:19" ht="15.75" thickBot="1" x14ac:dyDescent="0.25"/>
    <row r="15" spans="2:19" ht="15.75" x14ac:dyDescent="0.25">
      <c r="B15" s="249"/>
      <c r="C15" s="250"/>
      <c r="D15" s="250"/>
      <c r="E15" s="250"/>
      <c r="F15" s="250"/>
      <c r="G15" s="250"/>
      <c r="H15" s="251"/>
      <c r="M15" s="208"/>
    </row>
    <row r="16" spans="2:19" ht="18" x14ac:dyDescent="0.2">
      <c r="B16" s="45"/>
      <c r="C16" s="236" t="s">
        <v>472</v>
      </c>
      <c r="D16" s="46"/>
      <c r="E16" s="46"/>
      <c r="F16" s="46"/>
      <c r="G16" s="46"/>
      <c r="H16" s="49"/>
    </row>
    <row r="17" spans="2:8" ht="15.75" thickBot="1" x14ac:dyDescent="0.25">
      <c r="B17" s="45"/>
      <c r="C17" s="46"/>
      <c r="D17" s="46"/>
      <c r="E17" s="46"/>
      <c r="F17" s="46"/>
      <c r="G17" s="46"/>
      <c r="H17" s="49"/>
    </row>
    <row r="18" spans="2:8" ht="17.100000000000001" customHeight="1" thickBot="1" x14ac:dyDescent="0.25">
      <c r="B18" s="45"/>
      <c r="C18" s="361" t="s">
        <v>45</v>
      </c>
      <c r="D18" s="848" t="s">
        <v>259</v>
      </c>
      <c r="E18" s="848"/>
      <c r="F18" s="848"/>
      <c r="G18" s="849"/>
      <c r="H18" s="252"/>
    </row>
    <row r="19" spans="2:8" ht="16.5" thickBot="1" x14ac:dyDescent="0.25">
      <c r="B19" s="45"/>
      <c r="C19" s="359"/>
      <c r="D19" s="359"/>
      <c r="E19" s="360"/>
      <c r="F19" s="360"/>
      <c r="G19" s="360"/>
      <c r="H19" s="252"/>
    </row>
    <row r="20" spans="2:8" ht="51" customHeight="1" thickBot="1" x14ac:dyDescent="0.25">
      <c r="B20" s="45"/>
      <c r="C20" s="361" t="s">
        <v>46</v>
      </c>
      <c r="D20" s="848" t="s">
        <v>467</v>
      </c>
      <c r="E20" s="848"/>
      <c r="F20" s="848"/>
      <c r="G20" s="849"/>
      <c r="H20" s="252"/>
    </row>
    <row r="21" spans="2:8" ht="16.5" thickBot="1" x14ac:dyDescent="0.25">
      <c r="B21" s="45"/>
      <c r="C21" s="359"/>
      <c r="D21" s="359"/>
      <c r="E21" s="360"/>
      <c r="F21" s="360"/>
      <c r="G21" s="360"/>
      <c r="H21" s="252"/>
    </row>
    <row r="22" spans="2:8" ht="51" customHeight="1" thickBot="1" x14ac:dyDescent="0.25">
      <c r="B22" s="45"/>
      <c r="C22" s="361" t="s">
        <v>47</v>
      </c>
      <c r="D22" s="848" t="s">
        <v>468</v>
      </c>
      <c r="E22" s="848"/>
      <c r="F22" s="848"/>
      <c r="G22" s="849"/>
      <c r="H22" s="252"/>
    </row>
    <row r="23" spans="2:8" ht="16.5" thickBot="1" x14ac:dyDescent="0.25">
      <c r="B23" s="45"/>
      <c r="C23" s="359"/>
      <c r="D23" s="359"/>
      <c r="E23" s="360"/>
      <c r="F23" s="360"/>
      <c r="G23" s="360"/>
      <c r="H23" s="252"/>
    </row>
    <row r="24" spans="2:8" ht="51" customHeight="1" thickBot="1" x14ac:dyDescent="0.25">
      <c r="B24" s="45"/>
      <c r="C24" s="361" t="s">
        <v>48</v>
      </c>
      <c r="D24" s="848" t="s">
        <v>469</v>
      </c>
      <c r="E24" s="848"/>
      <c r="F24" s="848"/>
      <c r="G24" s="849"/>
      <c r="H24" s="252"/>
    </row>
    <row r="25" spans="2:8" ht="16.5" thickBot="1" x14ac:dyDescent="0.25">
      <c r="B25" s="45"/>
      <c r="C25" s="359"/>
      <c r="D25" s="359"/>
      <c r="E25" s="360"/>
      <c r="F25" s="360"/>
      <c r="G25" s="360"/>
      <c r="H25" s="252"/>
    </row>
    <row r="26" spans="2:8" ht="51" customHeight="1" thickBot="1" x14ac:dyDescent="0.25">
      <c r="B26" s="45"/>
      <c r="C26" s="361" t="s">
        <v>49</v>
      </c>
      <c r="D26" s="848" t="s">
        <v>470</v>
      </c>
      <c r="E26" s="848"/>
      <c r="F26" s="848"/>
      <c r="G26" s="849"/>
      <c r="H26" s="252"/>
    </row>
    <row r="27" spans="2:8" ht="16.5" thickBot="1" x14ac:dyDescent="0.25">
      <c r="B27" s="45"/>
      <c r="C27" s="359"/>
      <c r="D27" s="359"/>
      <c r="E27" s="360"/>
      <c r="F27" s="360"/>
      <c r="G27" s="360"/>
      <c r="H27" s="252"/>
    </row>
    <row r="28" spans="2:8" ht="51" customHeight="1" thickBot="1" x14ac:dyDescent="0.25">
      <c r="B28" s="45"/>
      <c r="C28" s="361" t="s">
        <v>50</v>
      </c>
      <c r="D28" s="848" t="s">
        <v>471</v>
      </c>
      <c r="E28" s="848"/>
      <c r="F28" s="848"/>
      <c r="G28" s="849"/>
      <c r="H28" s="252"/>
    </row>
    <row r="29" spans="2:8" ht="15.75" thickBot="1" x14ac:dyDescent="0.25">
      <c r="B29" s="211"/>
      <c r="C29" s="51"/>
      <c r="D29" s="51"/>
      <c r="E29" s="51"/>
      <c r="F29" s="51"/>
      <c r="G29" s="51"/>
      <c r="H29" s="212"/>
    </row>
    <row r="30" spans="2:8" ht="15.75" thickBot="1" x14ac:dyDescent="0.25"/>
    <row r="31" spans="2:8" x14ac:dyDescent="0.2">
      <c r="B31" s="249"/>
      <c r="C31" s="250"/>
      <c r="D31" s="250"/>
      <c r="E31" s="250"/>
      <c r="F31" s="250"/>
      <c r="G31" s="250"/>
      <c r="H31" s="251"/>
    </row>
    <row r="32" spans="2:8" ht="23.25" x14ac:dyDescent="0.35">
      <c r="B32" s="45"/>
      <c r="C32" s="796" t="str">
        <f>IF(C8="","",IF(SUMPRODUCT(B8:B12,H8:H12)&lt;&gt;0,"Ocjena kriterija nije završena!", "Sva vodna tijela su ocijenjena!"))</f>
        <v>Ocjena kriterija nije završena!</v>
      </c>
      <c r="D32" s="796"/>
      <c r="E32" s="796"/>
      <c r="F32" s="796"/>
      <c r="G32" s="674">
        <f>IF(C8="",0,IF(SUMPRODUCT(B8:B12,H8:H12)&lt;&gt;0,0,1))</f>
        <v>0</v>
      </c>
      <c r="H32" s="49"/>
    </row>
    <row r="33" spans="2:8" ht="15.75" thickBot="1" x14ac:dyDescent="0.25">
      <c r="B33" s="211"/>
      <c r="C33" s="51"/>
      <c r="D33" s="51"/>
      <c r="E33" s="51"/>
      <c r="F33" s="51"/>
      <c r="G33" s="51"/>
      <c r="H33" s="212"/>
    </row>
  </sheetData>
  <sheetProtection selectLockedCells="1"/>
  <mergeCells count="13">
    <mergeCell ref="D12:E12"/>
    <mergeCell ref="D7:E7"/>
    <mergeCell ref="D8:E8"/>
    <mergeCell ref="D9:E9"/>
    <mergeCell ref="D10:E10"/>
    <mergeCell ref="D11:E11"/>
    <mergeCell ref="D28:G28"/>
    <mergeCell ref="C32:F32"/>
    <mergeCell ref="D18:G18"/>
    <mergeCell ref="D20:G20"/>
    <mergeCell ref="D22:G22"/>
    <mergeCell ref="D24:G24"/>
    <mergeCell ref="D26:G26"/>
  </mergeCells>
  <conditionalFormatting sqref="C8:C12">
    <cfRule type="expression" dxfId="89" priority="17">
      <formula>$C8="n.a."</formula>
    </cfRule>
  </conditionalFormatting>
  <conditionalFormatting sqref="C32 F32">
    <cfRule type="expression" dxfId="88" priority="15">
      <formula>SUMPRODUCT($B$8:$B$12,$H$8:$H$12)=0</formula>
    </cfRule>
  </conditionalFormatting>
  <conditionalFormatting sqref="F8">
    <cfRule type="expression" dxfId="87" priority="13">
      <formula>B8=""</formula>
    </cfRule>
  </conditionalFormatting>
  <conditionalFormatting sqref="F8">
    <cfRule type="expression" dxfId="86" priority="14">
      <formula>F8=$P$3</formula>
    </cfRule>
  </conditionalFormatting>
  <conditionalFormatting sqref="F9">
    <cfRule type="expression" dxfId="85" priority="7">
      <formula>B9=""</formula>
    </cfRule>
  </conditionalFormatting>
  <conditionalFormatting sqref="F9">
    <cfRule type="expression" dxfId="84" priority="8">
      <formula>F9=$P$3</formula>
    </cfRule>
  </conditionalFormatting>
  <conditionalFormatting sqref="F10">
    <cfRule type="expression" dxfId="83" priority="5">
      <formula>B10=""</formula>
    </cfRule>
  </conditionalFormatting>
  <conditionalFormatting sqref="F10">
    <cfRule type="expression" dxfId="82" priority="6">
      <formula>F10=$P$3</formula>
    </cfRule>
  </conditionalFormatting>
  <conditionalFormatting sqref="F11">
    <cfRule type="expression" dxfId="81" priority="3">
      <formula>B11=""</formula>
    </cfRule>
  </conditionalFormatting>
  <conditionalFormatting sqref="F11">
    <cfRule type="expression" dxfId="80" priority="4">
      <formula>F11=$P$3</formula>
    </cfRule>
  </conditionalFormatting>
  <conditionalFormatting sqref="F12">
    <cfRule type="expression" dxfId="79" priority="1">
      <formula>B12=""</formula>
    </cfRule>
  </conditionalFormatting>
  <conditionalFormatting sqref="F12">
    <cfRule type="expression" dxfId="78" priority="2">
      <formula>F12=$P$3</formula>
    </cfRule>
  </conditionalFormatting>
  <dataValidations count="2">
    <dataValidation type="list" allowBlank="1" showInputMessage="1" showErrorMessage="1" error="Wrong input!" prompt="Please select scoring based on your criterion assessment" sqref="F10:F12">
      <formula1>$N$3:$N$8</formula1>
    </dataValidation>
    <dataValidation type="list" allowBlank="1" showInputMessage="1" showErrorMessage="1" error="Wrong input!" prompt="Izaberi ocjenu" sqref="F8 F9">
      <formula1>$N$3:$N$8</formula1>
    </dataValidation>
  </dataValidation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showGridLines="0" topLeftCell="A19" workbookViewId="0">
      <selection activeCell="K10" sqref="K10"/>
    </sheetView>
  </sheetViews>
  <sheetFormatPr defaultColWidth="10.875" defaultRowHeight="15" outlineLevelCol="1" x14ac:dyDescent="0.2"/>
  <cols>
    <col min="1" max="1" width="3" style="80" customWidth="1"/>
    <col min="2" max="2" width="4.125" style="80" customWidth="1"/>
    <col min="3" max="3" width="9.125" style="80" customWidth="1"/>
    <col min="4" max="4" width="22.875" style="80" customWidth="1"/>
    <col min="5" max="5" width="33.5" style="80" customWidth="1"/>
    <col min="6" max="6" width="14.875" style="80" customWidth="1"/>
    <col min="7" max="7" width="10.875" style="80" customWidth="1"/>
    <col min="8" max="8" width="4.125" style="80" customWidth="1"/>
    <col min="9" max="9" width="9.125" style="80" customWidth="1"/>
    <col min="10" max="10" width="22.875" style="80" customWidth="1"/>
    <col min="11" max="11" width="33.5" style="80" customWidth="1"/>
    <col min="12" max="12" width="14.625" style="80" customWidth="1"/>
    <col min="13" max="13" width="10.875" style="80"/>
    <col min="14" max="14" width="4.125" style="80" customWidth="1"/>
    <col min="15" max="18" width="10.875" style="80"/>
    <col min="19" max="20" width="10.875" style="80" outlineLevel="1"/>
    <col min="21" max="21" width="65.875" style="80" customWidth="1" outlineLevel="1"/>
    <col min="22" max="24" width="10.875" style="80" outlineLevel="1"/>
    <col min="25" max="25" width="38.875" style="80" bestFit="1" customWidth="1" outlineLevel="1"/>
    <col min="26" max="27" width="10.875" style="80" outlineLevel="1"/>
    <col min="28" max="28" width="11.875" style="80" customWidth="1" outlineLevel="1"/>
    <col min="29" max="30" width="10.875" style="80" outlineLevel="1"/>
    <col min="31" max="31" width="16.375" style="80" customWidth="1" outlineLevel="1"/>
    <col min="32" max="36" width="10.875" style="80" outlineLevel="1"/>
    <col min="37" max="37" width="40.5" style="80" bestFit="1" customWidth="1" outlineLevel="1"/>
    <col min="38" max="51" width="10.875" style="80" outlineLevel="1"/>
    <col min="52" max="16384" width="10.875" style="80"/>
  </cols>
  <sheetData>
    <row r="1" spans="1:51" ht="15.75" thickBot="1" x14ac:dyDescent="0.25">
      <c r="A1" s="1"/>
      <c r="B1" s="1"/>
      <c r="C1" s="24"/>
      <c r="D1" s="24"/>
      <c r="E1" s="24"/>
      <c r="F1" s="1"/>
      <c r="G1" s="25"/>
      <c r="H1" s="25"/>
      <c r="I1" s="1"/>
    </row>
    <row r="2" spans="1:51" ht="18.95" customHeight="1" thickBot="1" x14ac:dyDescent="0.3">
      <c r="A2" s="1"/>
      <c r="B2" s="189"/>
      <c r="C2" s="190"/>
      <c r="D2" s="190"/>
      <c r="E2" s="190"/>
      <c r="F2" s="191"/>
      <c r="G2" s="191"/>
      <c r="H2" s="191"/>
      <c r="I2" s="191"/>
      <c r="J2" s="191"/>
      <c r="K2" s="191"/>
      <c r="L2" s="191"/>
      <c r="M2" s="191"/>
      <c r="N2" s="192"/>
      <c r="U2" s="398" t="s">
        <v>490</v>
      </c>
      <c r="V2" s="399"/>
      <c r="W2" s="400"/>
      <c r="Y2" s="851" t="s">
        <v>495</v>
      </c>
      <c r="Z2" s="852"/>
      <c r="AA2" s="852"/>
      <c r="AB2" s="852"/>
      <c r="AC2" s="853"/>
      <c r="AE2" s="851" t="s">
        <v>499</v>
      </c>
      <c r="AF2" s="852"/>
      <c r="AG2" s="852"/>
      <c r="AH2" s="852"/>
      <c r="AI2" s="853"/>
      <c r="AK2" s="851" t="s">
        <v>504</v>
      </c>
      <c r="AL2" s="852"/>
      <c r="AM2" s="852"/>
      <c r="AN2" s="852"/>
      <c r="AO2" s="853"/>
      <c r="AQ2" s="851" t="s">
        <v>508</v>
      </c>
      <c r="AR2" s="852"/>
      <c r="AS2" s="852"/>
      <c r="AT2" s="852"/>
      <c r="AU2" s="853"/>
      <c r="AX2" s="398" t="s">
        <v>509</v>
      </c>
      <c r="AY2" s="440" t="s">
        <v>116</v>
      </c>
    </row>
    <row r="3" spans="1:51" ht="17.100000000000001" customHeight="1" thickBot="1" x14ac:dyDescent="0.3">
      <c r="A3" s="1"/>
      <c r="B3" s="47"/>
      <c r="C3" s="193" t="s">
        <v>473</v>
      </c>
      <c r="D3" s="193"/>
      <c r="E3" s="193"/>
      <c r="F3" s="193"/>
      <c r="G3" s="193"/>
      <c r="H3" s="193"/>
      <c r="I3" s="193"/>
      <c r="J3" s="193"/>
      <c r="K3" s="193"/>
      <c r="L3" s="193"/>
      <c r="M3" s="193"/>
      <c r="N3" s="194"/>
      <c r="S3" s="417" t="s">
        <v>54</v>
      </c>
      <c r="U3" s="411" t="s">
        <v>116</v>
      </c>
      <c r="V3" s="412" t="s">
        <v>55</v>
      </c>
      <c r="W3" s="413" t="s">
        <v>494</v>
      </c>
      <c r="Y3" s="402"/>
      <c r="Z3" s="403" t="s">
        <v>55</v>
      </c>
      <c r="AA3" s="403" t="s">
        <v>487</v>
      </c>
      <c r="AB3" s="403" t="s">
        <v>488</v>
      </c>
      <c r="AC3" s="404" t="s">
        <v>489</v>
      </c>
      <c r="AE3" s="402"/>
      <c r="AF3" s="403" t="s">
        <v>55</v>
      </c>
      <c r="AG3" s="403" t="s">
        <v>487</v>
      </c>
      <c r="AH3" s="403" t="s">
        <v>501</v>
      </c>
      <c r="AI3" s="404" t="s">
        <v>503</v>
      </c>
      <c r="AK3" s="402"/>
      <c r="AL3" s="403" t="s">
        <v>55</v>
      </c>
      <c r="AM3" s="403" t="s">
        <v>487</v>
      </c>
      <c r="AN3" s="403" t="s">
        <v>501</v>
      </c>
      <c r="AO3" s="404" t="s">
        <v>503</v>
      </c>
      <c r="AQ3" s="402"/>
      <c r="AR3" s="403" t="s">
        <v>55</v>
      </c>
      <c r="AS3" s="403" t="s">
        <v>487</v>
      </c>
      <c r="AT3" s="403" t="s">
        <v>501</v>
      </c>
      <c r="AU3" s="404" t="s">
        <v>503</v>
      </c>
      <c r="AX3" s="438">
        <v>0</v>
      </c>
      <c r="AY3" s="282">
        <v>1</v>
      </c>
    </row>
    <row r="4" spans="1:51" ht="15.95" customHeight="1" thickBot="1" x14ac:dyDescent="0.3">
      <c r="A4" s="1"/>
      <c r="B4" s="195"/>
      <c r="C4" s="196"/>
      <c r="D4" s="196"/>
      <c r="E4" s="196"/>
      <c r="F4" s="196"/>
      <c r="G4" s="196"/>
      <c r="H4" s="196"/>
      <c r="I4" s="196"/>
      <c r="J4" s="196"/>
      <c r="K4" s="196"/>
      <c r="L4" s="196"/>
      <c r="M4" s="196"/>
      <c r="N4" s="197"/>
      <c r="S4" s="418" t="s">
        <v>487</v>
      </c>
      <c r="U4" s="414" t="s">
        <v>493</v>
      </c>
      <c r="V4" s="407">
        <v>1</v>
      </c>
      <c r="W4" s="426">
        <v>5</v>
      </c>
      <c r="Y4" s="406" t="s">
        <v>496</v>
      </c>
      <c r="Z4" s="407">
        <v>1</v>
      </c>
      <c r="AA4" s="420">
        <v>1</v>
      </c>
      <c r="AB4" s="420">
        <v>2</v>
      </c>
      <c r="AC4" s="421">
        <v>4</v>
      </c>
      <c r="AE4" s="406" t="s">
        <v>500</v>
      </c>
      <c r="AF4" s="407">
        <v>1</v>
      </c>
      <c r="AG4" s="420">
        <v>1</v>
      </c>
      <c r="AH4" s="420">
        <v>2</v>
      </c>
      <c r="AI4" s="421">
        <v>4</v>
      </c>
      <c r="AK4" s="406" t="s">
        <v>505</v>
      </c>
      <c r="AL4" s="407">
        <v>1</v>
      </c>
      <c r="AM4" s="420">
        <v>1</v>
      </c>
      <c r="AN4" s="420">
        <v>2</v>
      </c>
      <c r="AO4" s="421">
        <v>4</v>
      </c>
      <c r="AQ4" s="406" t="s">
        <v>543</v>
      </c>
      <c r="AR4" s="407">
        <v>1</v>
      </c>
      <c r="AS4" s="420">
        <v>2</v>
      </c>
      <c r="AT4" s="420">
        <v>4</v>
      </c>
      <c r="AU4" s="421">
        <v>8</v>
      </c>
      <c r="AX4" s="438">
        <v>11</v>
      </c>
      <c r="AY4" s="282">
        <v>2</v>
      </c>
    </row>
    <row r="5" spans="1:51" ht="16.5" thickBot="1" x14ac:dyDescent="0.3">
      <c r="A5" s="1"/>
      <c r="B5" s="1"/>
      <c r="C5" s="1"/>
      <c r="D5" s="1"/>
      <c r="E5" s="1"/>
      <c r="F5" s="1"/>
      <c r="G5" s="1"/>
      <c r="H5" s="1"/>
      <c r="I5" s="1"/>
      <c r="S5" s="418" t="s">
        <v>488</v>
      </c>
      <c r="U5" s="415" t="s">
        <v>491</v>
      </c>
      <c r="V5" s="405">
        <v>2</v>
      </c>
      <c r="W5" s="427">
        <v>1</v>
      </c>
      <c r="Y5" s="408" t="s">
        <v>497</v>
      </c>
      <c r="Z5" s="405">
        <v>2</v>
      </c>
      <c r="AA5" s="422">
        <v>2</v>
      </c>
      <c r="AB5" s="422">
        <v>3</v>
      </c>
      <c r="AC5" s="423">
        <v>5</v>
      </c>
      <c r="AE5" s="408" t="s">
        <v>501</v>
      </c>
      <c r="AF5" s="405">
        <v>2</v>
      </c>
      <c r="AG5" s="422">
        <v>2</v>
      </c>
      <c r="AH5" s="422">
        <v>3</v>
      </c>
      <c r="AI5" s="423">
        <v>5</v>
      </c>
      <c r="AK5" s="408" t="s">
        <v>506</v>
      </c>
      <c r="AL5" s="405">
        <v>2</v>
      </c>
      <c r="AM5" s="422">
        <v>2</v>
      </c>
      <c r="AN5" s="422">
        <v>3</v>
      </c>
      <c r="AO5" s="423">
        <v>5</v>
      </c>
      <c r="AQ5" s="408" t="s">
        <v>501</v>
      </c>
      <c r="AR5" s="405">
        <v>2</v>
      </c>
      <c r="AS5" s="422">
        <v>3</v>
      </c>
      <c r="AT5" s="422">
        <v>6</v>
      </c>
      <c r="AU5" s="423">
        <v>10</v>
      </c>
      <c r="AX5" s="438">
        <v>16</v>
      </c>
      <c r="AY5" s="282">
        <v>3</v>
      </c>
    </row>
    <row r="6" spans="1:51" ht="18.75" thickBot="1" x14ac:dyDescent="0.3">
      <c r="A6" s="1"/>
      <c r="B6" s="189"/>
      <c r="C6" s="250"/>
      <c r="D6" s="393"/>
      <c r="E6" s="393"/>
      <c r="F6" s="393"/>
      <c r="G6" s="191"/>
      <c r="H6" s="191"/>
      <c r="I6" s="191"/>
      <c r="J6" s="250"/>
      <c r="K6" s="250"/>
      <c r="L6" s="250"/>
      <c r="M6" s="250"/>
      <c r="N6" s="251"/>
      <c r="S6" s="419" t="s">
        <v>489</v>
      </c>
      <c r="U6" s="416" t="s">
        <v>492</v>
      </c>
      <c r="V6" s="410">
        <v>3</v>
      </c>
      <c r="W6" s="428">
        <v>3</v>
      </c>
      <c r="Y6" s="409" t="s">
        <v>498</v>
      </c>
      <c r="Z6" s="410">
        <v>3</v>
      </c>
      <c r="AA6" s="424">
        <v>4</v>
      </c>
      <c r="AB6" s="424">
        <v>5</v>
      </c>
      <c r="AC6" s="425">
        <v>5</v>
      </c>
      <c r="AE6" s="409" t="s">
        <v>502</v>
      </c>
      <c r="AF6" s="410">
        <v>3</v>
      </c>
      <c r="AG6" s="424">
        <v>4</v>
      </c>
      <c r="AH6" s="424">
        <v>5</v>
      </c>
      <c r="AI6" s="425">
        <v>5</v>
      </c>
      <c r="AK6" s="409" t="s">
        <v>507</v>
      </c>
      <c r="AL6" s="410">
        <v>3</v>
      </c>
      <c r="AM6" s="424">
        <v>4</v>
      </c>
      <c r="AN6" s="424">
        <v>5</v>
      </c>
      <c r="AO6" s="425">
        <v>5</v>
      </c>
      <c r="AQ6" s="409" t="s">
        <v>502</v>
      </c>
      <c r="AR6" s="410">
        <v>3</v>
      </c>
      <c r="AS6" s="424">
        <v>8</v>
      </c>
      <c r="AT6" s="424">
        <v>10</v>
      </c>
      <c r="AU6" s="425">
        <v>10</v>
      </c>
      <c r="AX6" s="438">
        <v>21</v>
      </c>
      <c r="AY6" s="282">
        <v>4</v>
      </c>
    </row>
    <row r="7" spans="1:51" ht="16.5" thickBot="1" x14ac:dyDescent="0.3">
      <c r="A7" s="1"/>
      <c r="B7" s="47"/>
      <c r="C7" s="431" t="s">
        <v>474</v>
      </c>
      <c r="D7" s="235"/>
      <c r="E7" s="235"/>
      <c r="F7" s="235"/>
      <c r="G7" s="235"/>
      <c r="H7" s="235"/>
      <c r="I7" s="431" t="s">
        <v>475</v>
      </c>
      <c r="J7" s="235"/>
      <c r="K7" s="235"/>
      <c r="L7" s="235"/>
      <c r="M7" s="235"/>
      <c r="N7" s="49"/>
      <c r="AX7" s="439">
        <v>26</v>
      </c>
      <c r="AY7" s="401">
        <v>5</v>
      </c>
    </row>
    <row r="8" spans="1:51" ht="9.9499999999999993" customHeight="1" thickBot="1" x14ac:dyDescent="0.25">
      <c r="B8" s="45"/>
      <c r="C8" s="46"/>
      <c r="D8" s="46"/>
      <c r="E8" s="46"/>
      <c r="F8" s="46"/>
      <c r="G8" s="235"/>
      <c r="H8" s="235"/>
      <c r="I8" s="46"/>
      <c r="J8" s="46"/>
      <c r="K8" s="46"/>
      <c r="L8" s="46"/>
      <c r="M8" s="235"/>
      <c r="N8" s="49"/>
    </row>
    <row r="9" spans="1:51" ht="42" customHeight="1" thickBot="1" x14ac:dyDescent="0.3">
      <c r="B9" s="394"/>
      <c r="C9" s="216" t="s">
        <v>330</v>
      </c>
      <c r="D9" s="396" t="s">
        <v>110</v>
      </c>
      <c r="E9" s="803" t="s">
        <v>479</v>
      </c>
      <c r="F9" s="804"/>
      <c r="G9" s="216" t="s">
        <v>116</v>
      </c>
      <c r="H9" s="432"/>
      <c r="I9" s="216" t="s">
        <v>330</v>
      </c>
      <c r="J9" s="396" t="s">
        <v>110</v>
      </c>
      <c r="K9" s="216" t="s">
        <v>480</v>
      </c>
      <c r="L9" s="216" t="s">
        <v>485</v>
      </c>
      <c r="M9" s="216" t="s">
        <v>116</v>
      </c>
      <c r="N9" s="49"/>
    </row>
    <row r="10" spans="1:51" ht="33.950000000000003" customHeight="1" thickBot="1" x14ac:dyDescent="0.25">
      <c r="B10" s="429">
        <f>'Unos podataka'!F14</f>
        <v>1</v>
      </c>
      <c r="C10" s="219" t="str">
        <f>'Unos podataka'!G14</f>
        <v># 1</v>
      </c>
      <c r="D10" s="397">
        <f>IF(B10&lt;&gt;"",'Unos podataka'!H14,"")</f>
        <v>0</v>
      </c>
      <c r="E10" s="854"/>
      <c r="F10" s="855"/>
      <c r="G10" s="436" t="str">
        <f>IF(AND(E10&lt;&gt;"",B10&lt;&gt;""),VLOOKUP(MATCH(E10,$U$4:$U$7),$V$4:$W$7,2),"")</f>
        <v/>
      </c>
      <c r="H10" s="429">
        <f t="shared" ref="H10:J14" si="0">B10</f>
        <v>1</v>
      </c>
      <c r="I10" s="219" t="str">
        <f t="shared" si="0"/>
        <v># 1</v>
      </c>
      <c r="J10" s="397">
        <f t="shared" si="0"/>
        <v>0</v>
      </c>
      <c r="K10" s="639"/>
      <c r="L10" s="640"/>
      <c r="M10" s="436" t="str">
        <f>IF(AND(K10&lt;&gt;"",L10&lt;&gt;""),INDEX($AA$4:$AC$6,MATCH(K10,$Y$4:$Y$6,0),MATCH(L10,$S$4:$S$6,0)),"")</f>
        <v/>
      </c>
      <c r="N10" s="49"/>
    </row>
    <row r="11" spans="1:51" ht="33.950000000000003" customHeight="1" thickBot="1" x14ac:dyDescent="0.25">
      <c r="B11" s="429">
        <f>'Unos podataka'!F15</f>
        <v>1</v>
      </c>
      <c r="C11" s="219" t="str">
        <f>'Unos podataka'!G15</f>
        <v># 2</v>
      </c>
      <c r="D11" s="397">
        <f>IF(B11&lt;&gt;"",'Unos podataka'!H15,"")</f>
        <v>0</v>
      </c>
      <c r="E11" s="854"/>
      <c r="F11" s="855"/>
      <c r="G11" s="436" t="str">
        <f>IF(AND(E11&lt;&gt;"",B11&lt;&gt;""),VLOOKUP(MATCH(E11,$U$4:$U$7),$V$4:$W$7,2),"")</f>
        <v/>
      </c>
      <c r="H11" s="429">
        <f t="shared" si="0"/>
        <v>1</v>
      </c>
      <c r="I11" s="219" t="str">
        <f t="shared" si="0"/>
        <v># 2</v>
      </c>
      <c r="J11" s="397">
        <f t="shared" si="0"/>
        <v>0</v>
      </c>
      <c r="K11" s="639"/>
      <c r="L11" s="640"/>
      <c r="M11" s="436" t="str">
        <f>IF(AND(K11&lt;&gt;"",L11&lt;&gt;""),INDEX($AA$4:$AC$6,MATCH(K11,$Y$4:$Y$6,0),MATCH(L11,$S$4:$S$6,0)),"")</f>
        <v/>
      </c>
      <c r="N11" s="49"/>
    </row>
    <row r="12" spans="1:51" ht="33.950000000000003" customHeight="1" thickBot="1" x14ac:dyDescent="0.25">
      <c r="B12" s="429" t="str">
        <f>'Unos podataka'!F16</f>
        <v/>
      </c>
      <c r="C12" s="219" t="str">
        <f>'Unos podataka'!G16</f>
        <v/>
      </c>
      <c r="D12" s="397" t="str">
        <f>IF(B12&lt;&gt;"",'Unos podataka'!H16,"")</f>
        <v/>
      </c>
      <c r="E12" s="854"/>
      <c r="F12" s="855"/>
      <c r="G12" s="436" t="str">
        <f>IF(AND(E12&lt;&gt;"",B12&lt;&gt;""),VLOOKUP(MATCH(E12,$U$4:$U$7),$V$4:$W$7,2),"")</f>
        <v/>
      </c>
      <c r="H12" s="429" t="str">
        <f t="shared" si="0"/>
        <v/>
      </c>
      <c r="I12" s="219" t="str">
        <f t="shared" si="0"/>
        <v/>
      </c>
      <c r="J12" s="397" t="str">
        <f t="shared" si="0"/>
        <v/>
      </c>
      <c r="K12" s="639"/>
      <c r="L12" s="640"/>
      <c r="M12" s="436" t="str">
        <f>IF(AND(K12&lt;&gt;"",L12&lt;&gt;""),INDEX($AA$4:$AC$6,MATCH(K12,$Y$4:$Y$6,0),MATCH(L12,$S$4:$S$6,0)),"")</f>
        <v/>
      </c>
      <c r="N12" s="49"/>
    </row>
    <row r="13" spans="1:51" ht="33.950000000000003" customHeight="1" thickBot="1" x14ac:dyDescent="0.25">
      <c r="B13" s="429" t="str">
        <f>'Unos podataka'!F17</f>
        <v/>
      </c>
      <c r="C13" s="219" t="str">
        <f>'Unos podataka'!G17</f>
        <v/>
      </c>
      <c r="D13" s="397" t="str">
        <f>IF(B13&lt;&gt;"",'Unos podataka'!H17,"")</f>
        <v/>
      </c>
      <c r="E13" s="854"/>
      <c r="F13" s="855"/>
      <c r="G13" s="436" t="str">
        <f>IF(AND(E13&lt;&gt;"",B13&lt;&gt;""),VLOOKUP(MATCH(E13,$U$4:$U$7),$V$4:$W$7,2),"")</f>
        <v/>
      </c>
      <c r="H13" s="429" t="str">
        <f t="shared" si="0"/>
        <v/>
      </c>
      <c r="I13" s="219" t="str">
        <f t="shared" si="0"/>
        <v/>
      </c>
      <c r="J13" s="397" t="str">
        <f t="shared" si="0"/>
        <v/>
      </c>
      <c r="K13" s="639"/>
      <c r="L13" s="640"/>
      <c r="M13" s="436" t="str">
        <f>IF(AND(K13&lt;&gt;"",L13&lt;&gt;""),INDEX($AA$4:$AC$6,MATCH(K13,$Y$4:$Y$6,0),MATCH(L13,$S$4:$S$6,0)),"")</f>
        <v/>
      </c>
      <c r="N13" s="49"/>
    </row>
    <row r="14" spans="1:51" ht="33.950000000000003" customHeight="1" thickBot="1" x14ac:dyDescent="0.25">
      <c r="B14" s="429" t="str">
        <f>'Unos podataka'!F18</f>
        <v/>
      </c>
      <c r="C14" s="219" t="str">
        <f>'Unos podataka'!G18</f>
        <v/>
      </c>
      <c r="D14" s="397" t="str">
        <f>IF(B14&lt;&gt;"",'Unos podataka'!H18,"")</f>
        <v/>
      </c>
      <c r="E14" s="854"/>
      <c r="F14" s="855"/>
      <c r="G14" s="436" t="str">
        <f>IF(AND(E14&lt;&gt;"",B14&lt;&gt;""),VLOOKUP(MATCH(E14,$U$4:$U$7),$V$4:$W$7,2),"")</f>
        <v/>
      </c>
      <c r="H14" s="429" t="str">
        <f t="shared" si="0"/>
        <v/>
      </c>
      <c r="I14" s="219" t="str">
        <f t="shared" si="0"/>
        <v/>
      </c>
      <c r="J14" s="397" t="str">
        <f t="shared" si="0"/>
        <v/>
      </c>
      <c r="K14" s="639"/>
      <c r="L14" s="640"/>
      <c r="M14" s="436" t="str">
        <f>IF(AND(K14&lt;&gt;"",L14&lt;&gt;""),INDEX($AA$4:$AC$6,MATCH(K14,$Y$4:$Y$6,0),MATCH(L14,$S$4:$S$6,0)),"")</f>
        <v/>
      </c>
      <c r="N14" s="49"/>
    </row>
    <row r="15" spans="1:51" x14ac:dyDescent="0.2">
      <c r="B15" s="433"/>
      <c r="C15" s="46"/>
      <c r="D15" s="46"/>
      <c r="E15" s="46"/>
      <c r="F15" s="46"/>
      <c r="G15" s="235"/>
      <c r="H15" s="432"/>
      <c r="I15" s="235"/>
      <c r="J15" s="46"/>
      <c r="K15" s="46"/>
      <c r="L15" s="46"/>
      <c r="M15" s="46"/>
      <c r="N15" s="49"/>
    </row>
    <row r="16" spans="1:51" ht="15.75" x14ac:dyDescent="0.25">
      <c r="B16" s="434"/>
      <c r="C16" s="431" t="s">
        <v>476</v>
      </c>
      <c r="D16" s="235"/>
      <c r="E16" s="235"/>
      <c r="F16" s="235"/>
      <c r="G16" s="235"/>
      <c r="H16" s="432"/>
      <c r="I16" s="431" t="s">
        <v>477</v>
      </c>
      <c r="J16" s="235"/>
      <c r="K16" s="235"/>
      <c r="L16" s="235"/>
      <c r="M16" s="235"/>
      <c r="N16" s="50"/>
    </row>
    <row r="17" spans="2:18" ht="9.9499999999999993" customHeight="1" thickBot="1" x14ac:dyDescent="0.25">
      <c r="B17" s="433"/>
      <c r="C17" s="46"/>
      <c r="D17" s="46"/>
      <c r="E17" s="46"/>
      <c r="F17" s="46"/>
      <c r="G17" s="235"/>
      <c r="H17" s="435"/>
      <c r="I17" s="46"/>
      <c r="J17" s="46"/>
      <c r="K17" s="46"/>
      <c r="L17" s="46"/>
      <c r="M17" s="235"/>
      <c r="N17" s="50"/>
    </row>
    <row r="18" spans="2:18" ht="42" customHeight="1" thickBot="1" x14ac:dyDescent="0.3">
      <c r="B18" s="430"/>
      <c r="C18" s="216" t="s">
        <v>330</v>
      </c>
      <c r="D18" s="396" t="s">
        <v>110</v>
      </c>
      <c r="E18" s="216" t="s">
        <v>481</v>
      </c>
      <c r="F18" s="216" t="s">
        <v>485</v>
      </c>
      <c r="G18" s="216" t="s">
        <v>116</v>
      </c>
      <c r="H18" s="430"/>
      <c r="I18" s="216" t="s">
        <v>330</v>
      </c>
      <c r="J18" s="396" t="s">
        <v>110</v>
      </c>
      <c r="K18" s="216" t="s">
        <v>482</v>
      </c>
      <c r="L18" s="216" t="s">
        <v>485</v>
      </c>
      <c r="M18" s="216" t="s">
        <v>116</v>
      </c>
      <c r="N18" s="50"/>
    </row>
    <row r="19" spans="2:18" ht="33.950000000000003" customHeight="1" thickBot="1" x14ac:dyDescent="0.25">
      <c r="B19" s="429">
        <f t="shared" ref="B19:D23" si="1">H10</f>
        <v>1</v>
      </c>
      <c r="C19" s="219" t="str">
        <f t="shared" si="1"/>
        <v># 1</v>
      </c>
      <c r="D19" s="397">
        <f t="shared" si="1"/>
        <v>0</v>
      </c>
      <c r="E19" s="639"/>
      <c r="F19" s="640"/>
      <c r="G19" s="436" t="str">
        <f>IF(AND(E19&lt;&gt;"",F19&lt;&gt;""),INDEX($AG$4:$AI$6,MATCH(E19,$AE$4:$AE$6,0),MATCH(F19,$S$4:$S$6,0)),"")</f>
        <v/>
      </c>
      <c r="H19" s="429">
        <f t="shared" ref="H19:J23" si="2">B19</f>
        <v>1</v>
      </c>
      <c r="I19" s="219" t="str">
        <f t="shared" si="2"/>
        <v># 1</v>
      </c>
      <c r="J19" s="397">
        <f t="shared" si="2"/>
        <v>0</v>
      </c>
      <c r="K19" s="639"/>
      <c r="L19" s="640"/>
      <c r="M19" s="436" t="str">
        <f>IF(AND(K19&lt;&gt;"",L19&lt;&gt;""),INDEX($AM$4:$AO$6,MATCH(K19,$AK$4:$AK$6,0),MATCH(L19,$S$4:$S$6,0)),"")</f>
        <v/>
      </c>
      <c r="N19" s="50"/>
      <c r="P19" s="441"/>
    </row>
    <row r="20" spans="2:18" ht="33.950000000000003" customHeight="1" thickBot="1" x14ac:dyDescent="0.25">
      <c r="B20" s="429">
        <f t="shared" si="1"/>
        <v>1</v>
      </c>
      <c r="C20" s="219" t="str">
        <f t="shared" si="1"/>
        <v># 2</v>
      </c>
      <c r="D20" s="397">
        <f t="shared" si="1"/>
        <v>0</v>
      </c>
      <c r="E20" s="639"/>
      <c r="F20" s="640"/>
      <c r="G20" s="436" t="str">
        <f>IF(AND(E20&lt;&gt;"",F20&lt;&gt;""),INDEX($AG$4:$AI$6,MATCH(E20,$AE$4:$AE$6,0),MATCH(F20,$S$4:$S$6,0)),"")</f>
        <v/>
      </c>
      <c r="H20" s="429">
        <f t="shared" si="2"/>
        <v>1</v>
      </c>
      <c r="I20" s="219" t="str">
        <f t="shared" si="2"/>
        <v># 2</v>
      </c>
      <c r="J20" s="397">
        <f t="shared" si="2"/>
        <v>0</v>
      </c>
      <c r="K20" s="639"/>
      <c r="L20" s="640"/>
      <c r="M20" s="436" t="str">
        <f>IF(AND(K20&lt;&gt;"",L20&lt;&gt;""),INDEX($AM$4:$AO$6,MATCH(K20,$AK$4:$AK$6,0),MATCH(L20,$S$4:$S$6,0)),"")</f>
        <v/>
      </c>
      <c r="N20" s="50"/>
    </row>
    <row r="21" spans="2:18" ht="33.950000000000003" customHeight="1" thickBot="1" x14ac:dyDescent="0.25">
      <c r="B21" s="429" t="str">
        <f t="shared" si="1"/>
        <v/>
      </c>
      <c r="C21" s="219" t="str">
        <f t="shared" si="1"/>
        <v/>
      </c>
      <c r="D21" s="397" t="str">
        <f t="shared" si="1"/>
        <v/>
      </c>
      <c r="E21" s="639"/>
      <c r="F21" s="640"/>
      <c r="G21" s="436" t="str">
        <f>IF(AND(E21&lt;&gt;"",F21&lt;&gt;""),INDEX($AG$4:$AI$6,MATCH(E21,$AE$4:$AE$6,0),MATCH(F21,$S$4:$S$6,0)),"")</f>
        <v/>
      </c>
      <c r="H21" s="429" t="str">
        <f t="shared" si="2"/>
        <v/>
      </c>
      <c r="I21" s="219" t="str">
        <f t="shared" si="2"/>
        <v/>
      </c>
      <c r="J21" s="397" t="str">
        <f t="shared" si="2"/>
        <v/>
      </c>
      <c r="K21" s="639"/>
      <c r="L21" s="640"/>
      <c r="M21" s="436" t="str">
        <f>IF(AND(K21&lt;&gt;"",L21&lt;&gt;""),INDEX($AM$4:$AO$6,MATCH(K21,$AK$4:$AK$6,0),MATCH(L21,$S$4:$S$6,0)),"")</f>
        <v/>
      </c>
      <c r="N21" s="50"/>
    </row>
    <row r="22" spans="2:18" ht="33.950000000000003" customHeight="1" thickBot="1" x14ac:dyDescent="0.25">
      <c r="B22" s="429" t="str">
        <f t="shared" si="1"/>
        <v/>
      </c>
      <c r="C22" s="219" t="str">
        <f t="shared" si="1"/>
        <v/>
      </c>
      <c r="D22" s="397" t="str">
        <f t="shared" si="1"/>
        <v/>
      </c>
      <c r="E22" s="639"/>
      <c r="F22" s="640"/>
      <c r="G22" s="436" t="str">
        <f>IF(AND(E22&lt;&gt;"",F22&lt;&gt;""),INDEX($AG$4:$AI$6,MATCH(E22,$AE$4:$AE$6,0),MATCH(F22,$S$4:$S$6,0)),"")</f>
        <v/>
      </c>
      <c r="H22" s="429" t="str">
        <f t="shared" si="2"/>
        <v/>
      </c>
      <c r="I22" s="219" t="str">
        <f t="shared" si="2"/>
        <v/>
      </c>
      <c r="J22" s="397" t="str">
        <f t="shared" si="2"/>
        <v/>
      </c>
      <c r="K22" s="639"/>
      <c r="L22" s="640"/>
      <c r="M22" s="436" t="str">
        <f>IF(AND(K22&lt;&gt;"",L22&lt;&gt;""),INDEX($AM$4:$AO$6,MATCH(K22,$AK$4:$AK$6,0),MATCH(L22,$S$4:$S$6,0)),"")</f>
        <v/>
      </c>
      <c r="N22" s="50"/>
    </row>
    <row r="23" spans="2:18" ht="33.950000000000003" customHeight="1" thickBot="1" x14ac:dyDescent="0.25">
      <c r="B23" s="429" t="str">
        <f t="shared" si="1"/>
        <v/>
      </c>
      <c r="C23" s="219" t="str">
        <f t="shared" si="1"/>
        <v/>
      </c>
      <c r="D23" s="397" t="str">
        <f t="shared" si="1"/>
        <v/>
      </c>
      <c r="E23" s="639"/>
      <c r="F23" s="640"/>
      <c r="G23" s="436" t="str">
        <f>IF(AND(E23&lt;&gt;"",F23&lt;&gt;""),INDEX($AG$4:$AI$6,MATCH(E23,$AE$4:$AE$6,0),MATCH(F23,$S$4:$S$6,0)),"")</f>
        <v/>
      </c>
      <c r="H23" s="429" t="str">
        <f t="shared" si="2"/>
        <v/>
      </c>
      <c r="I23" s="219" t="str">
        <f t="shared" si="2"/>
        <v/>
      </c>
      <c r="J23" s="397" t="str">
        <f t="shared" si="2"/>
        <v/>
      </c>
      <c r="K23" s="639"/>
      <c r="L23" s="640"/>
      <c r="M23" s="436" t="str">
        <f>IF(AND(K23&lt;&gt;"",L23&lt;&gt;""),INDEX($AM$4:$AO$6,MATCH(K23,$AK$4:$AK$6,0),MATCH(L23,$S$4:$S$6,0)),"")</f>
        <v/>
      </c>
      <c r="N23" s="50"/>
    </row>
    <row r="24" spans="2:18" x14ac:dyDescent="0.2">
      <c r="B24" s="429"/>
      <c r="C24" s="46"/>
      <c r="D24" s="46"/>
      <c r="E24" s="46"/>
      <c r="F24" s="46"/>
      <c r="G24" s="235"/>
      <c r="H24" s="432"/>
      <c r="I24" s="46"/>
      <c r="J24" s="46"/>
      <c r="K24" s="46"/>
      <c r="L24" s="46"/>
      <c r="M24" s="46"/>
      <c r="N24" s="49"/>
    </row>
    <row r="25" spans="2:18" ht="15.75" x14ac:dyDescent="0.25">
      <c r="B25" s="434"/>
      <c r="C25" s="431" t="s">
        <v>478</v>
      </c>
      <c r="D25" s="235"/>
      <c r="E25" s="235"/>
      <c r="F25" s="235"/>
      <c r="G25" s="235"/>
      <c r="H25" s="432"/>
      <c r="I25" s="431" t="s">
        <v>165</v>
      </c>
      <c r="J25" s="46"/>
      <c r="K25" s="46"/>
      <c r="L25" s="46"/>
      <c r="M25" s="46"/>
      <c r="N25" s="49"/>
    </row>
    <row r="26" spans="2:18" ht="9.9499999999999993" customHeight="1" thickBot="1" x14ac:dyDescent="0.25">
      <c r="B26" s="433"/>
      <c r="C26" s="46"/>
      <c r="D26" s="46"/>
      <c r="E26" s="46"/>
      <c r="F26" s="46"/>
      <c r="G26" s="235"/>
      <c r="H26" s="432"/>
      <c r="I26" s="235"/>
      <c r="J26" s="46"/>
      <c r="K26" s="46"/>
      <c r="L26" s="46"/>
      <c r="M26" s="46"/>
      <c r="N26" s="49"/>
    </row>
    <row r="27" spans="2:18" ht="42" customHeight="1" thickBot="1" x14ac:dyDescent="0.3">
      <c r="B27" s="430"/>
      <c r="C27" s="216" t="s">
        <v>330</v>
      </c>
      <c r="D27" s="396" t="s">
        <v>110</v>
      </c>
      <c r="E27" s="216" t="s">
        <v>483</v>
      </c>
      <c r="F27" s="216" t="s">
        <v>485</v>
      </c>
      <c r="G27" s="216" t="s">
        <v>116</v>
      </c>
      <c r="H27" s="430"/>
      <c r="I27" s="216" t="s">
        <v>330</v>
      </c>
      <c r="J27" s="396" t="s">
        <v>110</v>
      </c>
      <c r="K27" s="216" t="s">
        <v>486</v>
      </c>
      <c r="L27" s="803" t="s">
        <v>484</v>
      </c>
      <c r="M27" s="804"/>
      <c r="N27" s="49"/>
    </row>
    <row r="28" spans="2:18" ht="33.950000000000003" customHeight="1" thickBot="1" x14ac:dyDescent="0.25">
      <c r="B28" s="429">
        <f t="shared" ref="B28:D32" si="3">H19</f>
        <v>1</v>
      </c>
      <c r="C28" s="219" t="str">
        <f t="shared" si="3"/>
        <v># 1</v>
      </c>
      <c r="D28" s="397">
        <f t="shared" si="3"/>
        <v>0</v>
      </c>
      <c r="E28" s="639"/>
      <c r="F28" s="640"/>
      <c r="G28" s="436" t="str">
        <f>IF(AND(E28&lt;&gt;"",F28&lt;&gt;""),INDEX($AS$4:$AU$6,MATCH(E28,$AQ$4:$AQ$6,0),MATCH(F28,$S$4:$S$6,0)),"")</f>
        <v/>
      </c>
      <c r="H28" s="429">
        <f t="shared" ref="H28:J32" si="4">B28</f>
        <v>1</v>
      </c>
      <c r="I28" s="219" t="str">
        <f t="shared" si="4"/>
        <v># 1</v>
      </c>
      <c r="J28" s="397">
        <f t="shared" si="4"/>
        <v>0</v>
      </c>
      <c r="K28" s="437" t="str">
        <f>IF(AND(H28=1,G10&lt;&gt;"",G19&lt;&gt;"",G28&lt;&gt;"",M10&lt;&gt;"",M19&lt;&gt;""),G10+M10+G19+M19+G28,"")</f>
        <v/>
      </c>
      <c r="L28" s="859" t="str">
        <f>IF(AND(H28=1,K28&lt;&gt;""),VLOOKUP(K28,$AX$3:$AY$7,2),"")</f>
        <v/>
      </c>
      <c r="M28" s="860"/>
      <c r="N28" s="443">
        <f>IF(AND(L28&lt;&gt;"",H28=1),1,0)</f>
        <v>0</v>
      </c>
    </row>
    <row r="29" spans="2:18" ht="33.950000000000003" customHeight="1" thickBot="1" x14ac:dyDescent="0.25">
      <c r="B29" s="429">
        <f t="shared" si="3"/>
        <v>1</v>
      </c>
      <c r="C29" s="219" t="str">
        <f t="shared" si="3"/>
        <v># 2</v>
      </c>
      <c r="D29" s="397">
        <f t="shared" si="3"/>
        <v>0</v>
      </c>
      <c r="E29" s="639"/>
      <c r="F29" s="640"/>
      <c r="G29" s="436" t="str">
        <f>IF(AND(E29&lt;&gt;"",F29&lt;&gt;""),INDEX($AS$4:$AU$6,MATCH(E29,$AQ$4:$AQ$6,0),MATCH(F29,$S$4:$S$6,0)),"")</f>
        <v/>
      </c>
      <c r="H29" s="429">
        <f t="shared" si="4"/>
        <v>1</v>
      </c>
      <c r="I29" s="219" t="str">
        <f t="shared" si="4"/>
        <v># 2</v>
      </c>
      <c r="J29" s="397">
        <f t="shared" si="4"/>
        <v>0</v>
      </c>
      <c r="K29" s="437" t="str">
        <f>IF(AND(H29=1,G11&lt;&gt;"",G20&lt;&gt;"",G29&lt;&gt;"",M11&lt;&gt;"",M20&lt;&gt;""),G11+M11+G20+M20+G29,"")</f>
        <v/>
      </c>
      <c r="L29" s="859" t="str">
        <f>IF(AND(H29=1,K29&lt;&gt;""),VLOOKUP(K29,$AX$3:$AY$7,2),"")</f>
        <v/>
      </c>
      <c r="M29" s="860"/>
      <c r="N29" s="443">
        <f>IF(AND(L29&lt;&gt;"",H29=1),1,0)</f>
        <v>0</v>
      </c>
    </row>
    <row r="30" spans="2:18" ht="33.950000000000003" customHeight="1" thickBot="1" x14ac:dyDescent="0.25">
      <c r="B30" s="429" t="str">
        <f t="shared" si="3"/>
        <v/>
      </c>
      <c r="C30" s="219" t="str">
        <f t="shared" si="3"/>
        <v/>
      </c>
      <c r="D30" s="397" t="str">
        <f t="shared" si="3"/>
        <v/>
      </c>
      <c r="E30" s="639"/>
      <c r="F30" s="640"/>
      <c r="G30" s="436" t="str">
        <f>IF(AND(E30&lt;&gt;"",F30&lt;&gt;""),INDEX($AS$4:$AU$6,MATCH(E30,$AQ$4:$AQ$6,0),MATCH(F30,$S$4:$S$6,0)),"")</f>
        <v/>
      </c>
      <c r="H30" s="429" t="str">
        <f t="shared" si="4"/>
        <v/>
      </c>
      <c r="I30" s="219" t="str">
        <f t="shared" si="4"/>
        <v/>
      </c>
      <c r="J30" s="397" t="str">
        <f t="shared" si="4"/>
        <v/>
      </c>
      <c r="K30" s="437" t="str">
        <f>IF(AND(H30=1,G12&lt;&gt;"",G21&lt;&gt;"",G30&lt;&gt;"",M12&lt;&gt;"",M21&lt;&gt;""),G12+M12+G21+M21+G30,"")</f>
        <v/>
      </c>
      <c r="L30" s="859" t="str">
        <f>IF(AND(H30=1,K30&lt;&gt;""),VLOOKUP(K30,$AX$3:$AY$7,2),"")</f>
        <v/>
      </c>
      <c r="M30" s="860"/>
      <c r="N30" s="443">
        <f>IF(AND(L30&lt;&gt;"",H30=1),1,0)</f>
        <v>0</v>
      </c>
      <c r="R30" s="442"/>
    </row>
    <row r="31" spans="2:18" ht="33.950000000000003" customHeight="1" thickBot="1" x14ac:dyDescent="0.25">
      <c r="B31" s="429" t="str">
        <f t="shared" si="3"/>
        <v/>
      </c>
      <c r="C31" s="219" t="str">
        <f t="shared" si="3"/>
        <v/>
      </c>
      <c r="D31" s="397" t="str">
        <f t="shared" si="3"/>
        <v/>
      </c>
      <c r="E31" s="639"/>
      <c r="F31" s="640"/>
      <c r="G31" s="436" t="str">
        <f>IF(AND(E31&lt;&gt;"",F31&lt;&gt;""),INDEX($AS$4:$AU$6,MATCH(E31,$AQ$4:$AQ$6,0),MATCH(F31,$S$4:$S$6,0)),"")</f>
        <v/>
      </c>
      <c r="H31" s="429" t="str">
        <f t="shared" si="4"/>
        <v/>
      </c>
      <c r="I31" s="219" t="str">
        <f t="shared" si="4"/>
        <v/>
      </c>
      <c r="J31" s="397" t="str">
        <f t="shared" si="4"/>
        <v/>
      </c>
      <c r="K31" s="437" t="str">
        <f>IF(AND(H31=1,G13&lt;&gt;"",G22&lt;&gt;"",G31&lt;&gt;"",M13&lt;&gt;"",M22&lt;&gt;""),G13+M13+G22+M22+G31,"")</f>
        <v/>
      </c>
      <c r="L31" s="859" t="str">
        <f>IF(AND(H31=1,K31&lt;&gt;""),VLOOKUP(K31,$AX$3:$AY$7,2),"")</f>
        <v/>
      </c>
      <c r="M31" s="860"/>
      <c r="N31" s="443">
        <f>IF(AND(L31&lt;&gt;"",H31=1),1,0)</f>
        <v>0</v>
      </c>
    </row>
    <row r="32" spans="2:18" ht="33.950000000000003" customHeight="1" thickBot="1" x14ac:dyDescent="0.25">
      <c r="B32" s="429" t="str">
        <f t="shared" si="3"/>
        <v/>
      </c>
      <c r="C32" s="219" t="str">
        <f t="shared" si="3"/>
        <v/>
      </c>
      <c r="D32" s="397" t="str">
        <f t="shared" si="3"/>
        <v/>
      </c>
      <c r="E32" s="639"/>
      <c r="F32" s="640"/>
      <c r="G32" s="436" t="str">
        <f>IF(AND(E32&lt;&gt;"",F32&lt;&gt;""),INDEX($AS$4:$AU$6,MATCH(E32,$AQ$4:$AQ$6,0),MATCH(F32,$S$4:$S$6,0)),"")</f>
        <v/>
      </c>
      <c r="H32" s="429" t="str">
        <f t="shared" si="4"/>
        <v/>
      </c>
      <c r="I32" s="219" t="str">
        <f t="shared" si="4"/>
        <v/>
      </c>
      <c r="J32" s="397" t="str">
        <f t="shared" si="4"/>
        <v/>
      </c>
      <c r="K32" s="437" t="str">
        <f>IF(AND(H32=1,G14&lt;&gt;"",G23&lt;&gt;"",G32&lt;&gt;"",M14&lt;&gt;"",M23&lt;&gt;""),G14+M14+G23+M23+G32,"")</f>
        <v/>
      </c>
      <c r="L32" s="859" t="str">
        <f>IF(AND(H32=1,K32&lt;&gt;""),VLOOKUP(K32,$AX$3:$AY$7,2),"")</f>
        <v/>
      </c>
      <c r="M32" s="860"/>
      <c r="N32" s="443">
        <f>IF(AND(L32&lt;&gt;"",H32=1),1,0)</f>
        <v>0</v>
      </c>
    </row>
    <row r="33" spans="2:14" ht="15.75" thickBot="1" x14ac:dyDescent="0.25">
      <c r="B33" s="45"/>
      <c r="C33" s="46"/>
      <c r="D33" s="46"/>
      <c r="E33" s="46"/>
      <c r="F33" s="46"/>
      <c r="G33" s="46"/>
      <c r="H33" s="46"/>
      <c r="I33" s="46"/>
      <c r="J33" s="46"/>
      <c r="K33" s="46"/>
      <c r="L33" s="46"/>
      <c r="M33" s="46"/>
      <c r="N33" s="49"/>
    </row>
    <row r="34" spans="2:14" ht="33.950000000000003" customHeight="1" thickBot="1" x14ac:dyDescent="0.25">
      <c r="B34" s="45"/>
      <c r="C34" s="46"/>
      <c r="D34" s="46"/>
      <c r="E34" s="46"/>
      <c r="F34" s="46"/>
      <c r="G34" s="46"/>
      <c r="H34" s="46"/>
      <c r="I34" s="856" t="s">
        <v>510</v>
      </c>
      <c r="J34" s="857"/>
      <c r="K34" s="858"/>
      <c r="L34" s="861" t="str">
        <f>IF(SUM(H28:H32)=SUM(N28:N32),MIN(L28:L32),"")</f>
        <v/>
      </c>
      <c r="M34" s="862"/>
      <c r="N34" s="49"/>
    </row>
    <row r="35" spans="2:14" ht="15.75" thickBot="1" x14ac:dyDescent="0.25">
      <c r="B35" s="211"/>
      <c r="C35" s="51"/>
      <c r="D35" s="51"/>
      <c r="E35" s="51"/>
      <c r="F35" s="51"/>
      <c r="G35" s="51"/>
      <c r="H35" s="51"/>
      <c r="I35" s="51"/>
      <c r="J35" s="51"/>
      <c r="K35" s="51"/>
      <c r="L35" s="51"/>
      <c r="M35" s="51"/>
      <c r="N35" s="212"/>
    </row>
    <row r="36" spans="2:14" ht="15.75" thickBot="1" x14ac:dyDescent="0.25"/>
    <row r="37" spans="2:14" x14ac:dyDescent="0.2">
      <c r="B37" s="249"/>
      <c r="C37" s="250"/>
      <c r="D37" s="250"/>
      <c r="E37" s="250"/>
      <c r="F37" s="250"/>
      <c r="G37" s="250"/>
      <c r="H37" s="250"/>
      <c r="I37" s="250"/>
      <c r="J37" s="250"/>
      <c r="K37" s="250"/>
      <c r="L37" s="250"/>
      <c r="M37" s="250"/>
      <c r="N37" s="251"/>
    </row>
    <row r="38" spans="2:14" ht="23.25" x14ac:dyDescent="0.35">
      <c r="B38" s="45"/>
      <c r="C38" s="850" t="str">
        <f>IF(C10="","",IF(SUM(H28:H32)=SUM(N28:N32), "Sva vodna tijela su ocjijenjena!","Ocjena kriterija nije završena!"))</f>
        <v>Ocjena kriterija nije završena!</v>
      </c>
      <c r="D38" s="850"/>
      <c r="E38" s="850"/>
      <c r="F38" s="850"/>
      <c r="G38" s="850"/>
      <c r="H38" s="850"/>
      <c r="I38" s="850"/>
      <c r="J38" s="850"/>
      <c r="K38" s="850"/>
      <c r="L38" s="850"/>
      <c r="M38" s="850"/>
      <c r="N38" s="673">
        <f>IF(C10="",0,IF(SUM(H28:H32)=SUM(N28:N32), 1,0))</f>
        <v>0</v>
      </c>
    </row>
    <row r="39" spans="2:14" ht="15.75" thickBot="1" x14ac:dyDescent="0.25">
      <c r="B39" s="211"/>
      <c r="C39" s="51"/>
      <c r="D39" s="51"/>
      <c r="E39" s="51"/>
      <c r="F39" s="51"/>
      <c r="G39" s="51"/>
      <c r="H39" s="51"/>
      <c r="I39" s="51"/>
      <c r="J39" s="51"/>
      <c r="K39" s="51"/>
      <c r="L39" s="51"/>
      <c r="M39" s="51"/>
      <c r="N39" s="212"/>
    </row>
  </sheetData>
  <mergeCells count="19">
    <mergeCell ref="AQ2:AU2"/>
    <mergeCell ref="I34:K34"/>
    <mergeCell ref="L27:M27"/>
    <mergeCell ref="L28:M28"/>
    <mergeCell ref="L29:M29"/>
    <mergeCell ref="L30:M30"/>
    <mergeCell ref="L31:M31"/>
    <mergeCell ref="Y2:AC2"/>
    <mergeCell ref="L32:M32"/>
    <mergeCell ref="L34:M34"/>
    <mergeCell ref="C38:M38"/>
    <mergeCell ref="AE2:AI2"/>
    <mergeCell ref="AK2:AO2"/>
    <mergeCell ref="E9:F9"/>
    <mergeCell ref="E10:F10"/>
    <mergeCell ref="E11:F11"/>
    <mergeCell ref="E12:F12"/>
    <mergeCell ref="E13:F13"/>
    <mergeCell ref="E14:F14"/>
  </mergeCells>
  <conditionalFormatting sqref="K10">
    <cfRule type="expression" dxfId="77" priority="74">
      <formula>H10=1</formula>
    </cfRule>
  </conditionalFormatting>
  <conditionalFormatting sqref="M10:M14 G11:G14">
    <cfRule type="expression" dxfId="76" priority="69">
      <formula>B10=1</formula>
    </cfRule>
  </conditionalFormatting>
  <conditionalFormatting sqref="E19">
    <cfRule type="expression" dxfId="75" priority="52">
      <formula>B19=1</formula>
    </cfRule>
  </conditionalFormatting>
  <conditionalFormatting sqref="G19:G23">
    <cfRule type="expression" dxfId="74" priority="51">
      <formula>B19=1</formula>
    </cfRule>
  </conditionalFormatting>
  <conditionalFormatting sqref="F19 L10">
    <cfRule type="expression" dxfId="73" priority="50">
      <formula>B10=1</formula>
    </cfRule>
  </conditionalFormatting>
  <conditionalFormatting sqref="K19">
    <cfRule type="expression" dxfId="72" priority="49">
      <formula>H19=1</formula>
    </cfRule>
  </conditionalFormatting>
  <conditionalFormatting sqref="M19:M23">
    <cfRule type="expression" dxfId="71" priority="48">
      <formula>H19=1</formula>
    </cfRule>
  </conditionalFormatting>
  <conditionalFormatting sqref="L19">
    <cfRule type="expression" dxfId="70" priority="47">
      <formula>H19=1</formula>
    </cfRule>
  </conditionalFormatting>
  <conditionalFormatting sqref="E28">
    <cfRule type="expression" dxfId="69" priority="46">
      <formula>B28=1</formula>
    </cfRule>
  </conditionalFormatting>
  <conditionalFormatting sqref="G28:G32">
    <cfRule type="expression" dxfId="68" priority="45">
      <formula>B28=1</formula>
    </cfRule>
  </conditionalFormatting>
  <conditionalFormatting sqref="F28">
    <cfRule type="expression" dxfId="67" priority="44">
      <formula>B28=1</formula>
    </cfRule>
  </conditionalFormatting>
  <conditionalFormatting sqref="K28:K32">
    <cfRule type="expression" dxfId="66" priority="43">
      <formula>H28=1</formula>
    </cfRule>
  </conditionalFormatting>
  <conditionalFormatting sqref="L28:L32">
    <cfRule type="expression" dxfId="65" priority="42">
      <formula>H28=1</formula>
    </cfRule>
  </conditionalFormatting>
  <conditionalFormatting sqref="C38">
    <cfRule type="expression" dxfId="64" priority="41">
      <formula>SUM(H28:H32)=SUM(N28:N32)</formula>
    </cfRule>
  </conditionalFormatting>
  <conditionalFormatting sqref="E12">
    <cfRule type="expression" dxfId="63" priority="39">
      <formula>B12=1</formula>
    </cfRule>
  </conditionalFormatting>
  <conditionalFormatting sqref="E13">
    <cfRule type="expression" dxfId="62" priority="38">
      <formula>B13=1</formula>
    </cfRule>
  </conditionalFormatting>
  <conditionalFormatting sqref="E14">
    <cfRule type="expression" dxfId="61" priority="37">
      <formula>B14=1</formula>
    </cfRule>
  </conditionalFormatting>
  <conditionalFormatting sqref="E20">
    <cfRule type="expression" dxfId="60" priority="36">
      <formula>B20=1</formula>
    </cfRule>
  </conditionalFormatting>
  <conditionalFormatting sqref="F20">
    <cfRule type="expression" dxfId="59" priority="35">
      <formula>B20=1</formula>
    </cfRule>
  </conditionalFormatting>
  <conditionalFormatting sqref="E21">
    <cfRule type="expression" dxfId="58" priority="34">
      <formula>B21=1</formula>
    </cfRule>
  </conditionalFormatting>
  <conditionalFormatting sqref="F21">
    <cfRule type="expression" dxfId="57" priority="33">
      <formula>B21=1</formula>
    </cfRule>
  </conditionalFormatting>
  <conditionalFormatting sqref="E22">
    <cfRule type="expression" dxfId="56" priority="32">
      <formula>B22=1</formula>
    </cfRule>
  </conditionalFormatting>
  <conditionalFormatting sqref="F22">
    <cfRule type="expression" dxfId="55" priority="31">
      <formula>B22=1</formula>
    </cfRule>
  </conditionalFormatting>
  <conditionalFormatting sqref="E23">
    <cfRule type="expression" dxfId="54" priority="30">
      <formula>B23=1</formula>
    </cfRule>
  </conditionalFormatting>
  <conditionalFormatting sqref="F23">
    <cfRule type="expression" dxfId="53" priority="29">
      <formula>B23=1</formula>
    </cfRule>
  </conditionalFormatting>
  <conditionalFormatting sqref="E29">
    <cfRule type="expression" dxfId="52" priority="28">
      <formula>B29=1</formula>
    </cfRule>
  </conditionalFormatting>
  <conditionalFormatting sqref="F29">
    <cfRule type="expression" dxfId="51" priority="27">
      <formula>B29=1</formula>
    </cfRule>
  </conditionalFormatting>
  <conditionalFormatting sqref="E30">
    <cfRule type="expression" dxfId="50" priority="26">
      <formula>B30=1</formula>
    </cfRule>
  </conditionalFormatting>
  <conditionalFormatting sqref="F30">
    <cfRule type="expression" dxfId="49" priority="25">
      <formula>B30=1</formula>
    </cfRule>
  </conditionalFormatting>
  <conditionalFormatting sqref="E31">
    <cfRule type="expression" dxfId="48" priority="24">
      <formula>B31=1</formula>
    </cfRule>
  </conditionalFormatting>
  <conditionalFormatting sqref="F31">
    <cfRule type="expression" dxfId="47" priority="23">
      <formula>B31=1</formula>
    </cfRule>
  </conditionalFormatting>
  <conditionalFormatting sqref="E32">
    <cfRule type="expression" dxfId="46" priority="22">
      <formula>B32=1</formula>
    </cfRule>
  </conditionalFormatting>
  <conditionalFormatting sqref="F32">
    <cfRule type="expression" dxfId="45" priority="21">
      <formula>B32=1</formula>
    </cfRule>
  </conditionalFormatting>
  <conditionalFormatting sqref="K11">
    <cfRule type="expression" dxfId="44" priority="20">
      <formula>H11=1</formula>
    </cfRule>
  </conditionalFormatting>
  <conditionalFormatting sqref="L11">
    <cfRule type="expression" dxfId="43" priority="19">
      <formula>H11=1</formula>
    </cfRule>
  </conditionalFormatting>
  <conditionalFormatting sqref="K12">
    <cfRule type="expression" dxfId="42" priority="18">
      <formula>H12=1</formula>
    </cfRule>
  </conditionalFormatting>
  <conditionalFormatting sqref="L12">
    <cfRule type="expression" dxfId="41" priority="17">
      <formula>H12=1</formula>
    </cfRule>
  </conditionalFormatting>
  <conditionalFormatting sqref="K13">
    <cfRule type="expression" dxfId="40" priority="16">
      <formula>H13=1</formula>
    </cfRule>
  </conditionalFormatting>
  <conditionalFormatting sqref="L13">
    <cfRule type="expression" dxfId="39" priority="15">
      <formula>H13=1</formula>
    </cfRule>
  </conditionalFormatting>
  <conditionalFormatting sqref="K14">
    <cfRule type="expression" dxfId="38" priority="14">
      <formula>H14=1</formula>
    </cfRule>
  </conditionalFormatting>
  <conditionalFormatting sqref="L14">
    <cfRule type="expression" dxfId="37" priority="13">
      <formula>H14=1</formula>
    </cfRule>
  </conditionalFormatting>
  <conditionalFormatting sqref="K20">
    <cfRule type="expression" dxfId="36" priority="12">
      <formula>H20=1</formula>
    </cfRule>
  </conditionalFormatting>
  <conditionalFormatting sqref="L20">
    <cfRule type="expression" dxfId="35" priority="11">
      <formula>H20=1</formula>
    </cfRule>
  </conditionalFormatting>
  <conditionalFormatting sqref="K21">
    <cfRule type="expression" dxfId="34" priority="10">
      <formula>H21=1</formula>
    </cfRule>
  </conditionalFormatting>
  <conditionalFormatting sqref="L21">
    <cfRule type="expression" dxfId="33" priority="9">
      <formula>H21=1</formula>
    </cfRule>
  </conditionalFormatting>
  <conditionalFormatting sqref="K22">
    <cfRule type="expression" dxfId="32" priority="8">
      <formula>H22=1</formula>
    </cfRule>
  </conditionalFormatting>
  <conditionalFormatting sqref="L22">
    <cfRule type="expression" dxfId="31" priority="7">
      <formula>H22=1</formula>
    </cfRule>
  </conditionalFormatting>
  <conditionalFormatting sqref="K23">
    <cfRule type="expression" dxfId="30" priority="6">
      <formula>H23=1</formula>
    </cfRule>
  </conditionalFormatting>
  <conditionalFormatting sqref="L23">
    <cfRule type="expression" dxfId="29" priority="5">
      <formula>H23=1</formula>
    </cfRule>
  </conditionalFormatting>
  <conditionalFormatting sqref="G10">
    <cfRule type="expression" dxfId="28" priority="3">
      <formula>B10=1</formula>
    </cfRule>
  </conditionalFormatting>
  <conditionalFormatting sqref="E11">
    <cfRule type="expression" dxfId="27" priority="2">
      <formula>B11=1</formula>
    </cfRule>
  </conditionalFormatting>
  <conditionalFormatting sqref="E10">
    <cfRule type="expression" dxfId="26" priority="1">
      <formula>B10=1</formula>
    </cfRule>
  </conditionalFormatting>
  <dataValidations count="13">
    <dataValidation type="list" allowBlank="1" showInputMessage="1" showErrorMessage="1" error="Wrong input!" prompt="Please select degree of visibility" sqref="E10:E14">
      <formula1>$U$4:$U$7</formula1>
    </dataValidation>
    <dataValidation type="list" allowBlank="1" showInputMessage="1" showErrorMessage="1" error="Wrong input!" prompt="Please select degree of origin of elements" sqref="K12:K14">
      <formula1>$Y$4:$Y$7</formula1>
    </dataValidation>
    <dataValidation type="list" allowBlank="1" showInputMessage="1" showErrorMessage="1" error="Wrong input!" prompt="Please select degree of intervention" sqref="F19:F23 L11:L14 L20:L23 F30:F32">
      <formula1>$S$4:$S$7</formula1>
    </dataValidation>
    <dataValidation type="list" allowBlank="1" showInputMessage="1" showErrorMessage="1" error="Wrong input!" prompt="Please select degree of representativeness of river stretch" sqref="K21:K23">
      <formula1>$AK$4:$AK$7</formula1>
    </dataValidation>
    <dataValidation type="list" allowBlank="1" showInputMessage="1" showErrorMessage="1" error="Wrong input!" prompt="Please select degree of uniqueness of river stretch" sqref="E21:E23">
      <formula1>$AE$4:$AE$7</formula1>
    </dataValidation>
    <dataValidation type="list" allowBlank="1" showInputMessage="1" showErrorMessage="1" error="Wrong input!" prompt="Please select degree of recreational value of river stretch" sqref="E30:E32">
      <formula1>$AQ$4:$AQ$7</formula1>
    </dataValidation>
    <dataValidation type="list" allowBlank="1" showInputMessage="1" showErrorMessage="1" error="Wrong input!" prompt="Izaberite stepen porijekla elemenata" sqref="K10:K11">
      <formula1>$Y$4:$Y$7</formula1>
    </dataValidation>
    <dataValidation type="list" allowBlank="1" showInputMessage="1" showErrorMessage="1" error="Wrong input!" prompt="Izaberite stepen jedinstvenosti vodnog tijela" sqref="E19:E20">
      <formula1>$AE$4:$AE$7</formula1>
    </dataValidation>
    <dataValidation type="list" allowBlank="1" showInputMessage="1" showErrorMessage="1" error="Wrong input!" prompt="Izaberite stepen intenziteta uticaja" sqref="L10">
      <formula1>$S$4:$S$7</formula1>
    </dataValidation>
    <dataValidation type="list" allowBlank="1" showInputMessage="1" showErrorMessage="1" error="Wrong input!" prompt="Izaberite stepen reprezentativnosti vodnog tijela" sqref="K19:K20">
      <formula1>$AK$4:$AK$7</formula1>
    </dataValidation>
    <dataValidation type="list" allowBlank="1" showInputMessage="1" showErrorMessage="1" error="Wrong input!" prompt="izaberite stepen intenziteta" sqref="L19 F28">
      <formula1>$S$4:$S$7</formula1>
    </dataValidation>
    <dataValidation type="list" allowBlank="1" showInputMessage="1" showErrorMessage="1" error="Wrong input!" prompt="Izabrite stepen rekreacijske vrijednosti vodnog tijela" sqref="E28:E29">
      <formula1>$AQ$4:$AQ$7</formula1>
    </dataValidation>
    <dataValidation type="list" allowBlank="1" showInputMessage="1" showErrorMessage="1" error="Wrong input!" prompt="Izaberi stepen intenziteta" sqref="F29">
      <formula1>$S$4:$S$7</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9"/>
  <sheetViews>
    <sheetView showGridLines="0" workbookViewId="0">
      <selection activeCell="G15" sqref="G15"/>
    </sheetView>
  </sheetViews>
  <sheetFormatPr defaultColWidth="11" defaultRowHeight="15.75" outlineLevelCol="1" x14ac:dyDescent="0.25"/>
  <cols>
    <col min="1" max="1" width="4.125" customWidth="1"/>
    <col min="2" max="2" width="3.375" customWidth="1"/>
    <col min="3" max="3" width="16.125" customWidth="1"/>
    <col min="4" max="4" width="3.375" customWidth="1"/>
    <col min="5" max="5" width="49.5" customWidth="1"/>
    <col min="6" max="6" width="3.375" customWidth="1"/>
    <col min="7" max="7" width="12.5" customWidth="1"/>
    <col min="8" max="8" width="3.375" customWidth="1"/>
    <col min="13" max="13" width="14.5" customWidth="1" outlineLevel="1"/>
    <col min="15" max="15" width="14" customWidth="1"/>
  </cols>
  <sheetData>
    <row r="1" spans="1:15" ht="16.5" thickBot="1" x14ac:dyDescent="0.3"/>
    <row r="2" spans="1:15" x14ac:dyDescent="0.25">
      <c r="A2" s="1"/>
      <c r="B2" s="53"/>
      <c r="C2" s="54"/>
      <c r="D2" s="54"/>
      <c r="E2" s="54"/>
      <c r="F2" s="54"/>
      <c r="G2" s="54"/>
      <c r="H2" s="55"/>
      <c r="K2" s="143"/>
      <c r="L2" s="143"/>
      <c r="M2" s="143"/>
      <c r="N2" s="143"/>
    </row>
    <row r="3" spans="1:15" ht="18" x14ac:dyDescent="0.25">
      <c r="A3" s="1"/>
      <c r="B3" s="56"/>
      <c r="C3" s="379" t="s">
        <v>113</v>
      </c>
      <c r="D3" s="34"/>
      <c r="E3" s="34"/>
      <c r="F3" s="34"/>
      <c r="G3" s="34"/>
      <c r="H3" s="57"/>
      <c r="K3" s="143"/>
      <c r="L3" s="143"/>
      <c r="M3" s="143"/>
      <c r="N3" s="143"/>
    </row>
    <row r="4" spans="1:15" ht="16.5" thickBot="1" x14ac:dyDescent="0.3">
      <c r="A4" s="1"/>
      <c r="B4" s="58"/>
      <c r="C4" s="59"/>
      <c r="D4" s="59"/>
      <c r="E4" s="59"/>
      <c r="F4" s="59"/>
      <c r="G4" s="59"/>
      <c r="H4" s="60"/>
      <c r="K4" s="143"/>
      <c r="L4" s="143"/>
      <c r="M4" s="143" t="s">
        <v>39</v>
      </c>
      <c r="N4" s="143"/>
    </row>
    <row r="5" spans="1:15" ht="16.5" thickBot="1" x14ac:dyDescent="0.3">
      <c r="M5" s="511" t="s">
        <v>119</v>
      </c>
      <c r="N5" s="512">
        <v>1</v>
      </c>
      <c r="O5" s="511" t="s">
        <v>120</v>
      </c>
    </row>
    <row r="6" spans="1:15" ht="16.5" thickBot="1" x14ac:dyDescent="0.3">
      <c r="B6" s="163"/>
      <c r="C6" s="500"/>
      <c r="D6" s="164"/>
      <c r="E6" s="500"/>
      <c r="F6" s="164"/>
      <c r="G6" s="500"/>
      <c r="H6" s="166"/>
      <c r="M6" s="511" t="s">
        <v>120</v>
      </c>
      <c r="N6" s="512">
        <v>2</v>
      </c>
      <c r="O6" s="511" t="s">
        <v>119</v>
      </c>
    </row>
    <row r="7" spans="1:15" ht="17.100000000000001" customHeight="1" thickBot="1" x14ac:dyDescent="0.3">
      <c r="B7" s="69"/>
      <c r="C7" s="501" t="s">
        <v>114</v>
      </c>
      <c r="D7" s="498"/>
      <c r="E7" s="501" t="s">
        <v>115</v>
      </c>
      <c r="F7" s="498"/>
      <c r="G7" s="501" t="s">
        <v>116</v>
      </c>
      <c r="H7" s="72"/>
      <c r="M7" s="511" t="s">
        <v>122</v>
      </c>
      <c r="N7" s="512">
        <v>3</v>
      </c>
      <c r="O7" s="511" t="s">
        <v>122</v>
      </c>
    </row>
    <row r="8" spans="1:15" ht="16.5" thickBot="1" x14ac:dyDescent="0.3">
      <c r="B8" s="69"/>
      <c r="C8" s="71"/>
      <c r="D8" s="71"/>
      <c r="E8" s="71"/>
      <c r="F8" s="71"/>
      <c r="G8" s="71"/>
      <c r="H8" s="72"/>
    </row>
    <row r="9" spans="1:15" ht="32.25" thickBot="1" x14ac:dyDescent="0.3">
      <c r="B9" s="69"/>
      <c r="C9" s="70" t="s">
        <v>75</v>
      </c>
      <c r="D9" s="498"/>
      <c r="E9" s="70" t="s">
        <v>117</v>
      </c>
      <c r="F9" s="498"/>
      <c r="G9" s="677" t="s">
        <v>122</v>
      </c>
      <c r="H9" s="499">
        <f>MATCH(G9,$M$5:$M$7,0)</f>
        <v>3</v>
      </c>
    </row>
    <row r="10" spans="1:15" ht="16.5" thickBot="1" x14ac:dyDescent="0.3">
      <c r="B10" s="69"/>
      <c r="C10" s="498"/>
      <c r="D10" s="498"/>
      <c r="E10" s="498"/>
      <c r="F10" s="498"/>
      <c r="G10" s="498"/>
      <c r="H10" s="499"/>
      <c r="J10" s="215"/>
    </row>
    <row r="11" spans="1:15" ht="32.25" thickBot="1" x14ac:dyDescent="0.3">
      <c r="B11" s="69"/>
      <c r="C11" s="70" t="s">
        <v>89</v>
      </c>
      <c r="D11" s="498"/>
      <c r="E11" s="70" t="s">
        <v>191</v>
      </c>
      <c r="F11" s="498"/>
      <c r="G11" s="677" t="s">
        <v>122</v>
      </c>
      <c r="H11" s="499">
        <f>MATCH(G11,$O$5:$O$7,0)</f>
        <v>3</v>
      </c>
    </row>
    <row r="12" spans="1:15" ht="16.5" thickBot="1" x14ac:dyDescent="0.3">
      <c r="B12" s="69"/>
      <c r="C12" s="498"/>
      <c r="D12" s="498"/>
      <c r="E12" s="498"/>
      <c r="F12" s="498"/>
      <c r="G12" s="498"/>
      <c r="H12" s="499"/>
      <c r="J12" s="215"/>
    </row>
    <row r="13" spans="1:15" ht="16.5" thickBot="1" x14ac:dyDescent="0.3">
      <c r="B13" s="69"/>
      <c r="C13" s="70" t="s">
        <v>76</v>
      </c>
      <c r="D13" s="498"/>
      <c r="E13" s="70" t="s">
        <v>192</v>
      </c>
      <c r="F13" s="498"/>
      <c r="G13" s="677" t="s">
        <v>122</v>
      </c>
      <c r="H13" s="499">
        <f>MATCH(G13,$M$5:$M$7,0)</f>
        <v>3</v>
      </c>
    </row>
    <row r="14" spans="1:15" ht="16.5" thickBot="1" x14ac:dyDescent="0.3">
      <c r="B14" s="69"/>
      <c r="C14" s="498"/>
      <c r="D14" s="498"/>
      <c r="E14" s="498"/>
      <c r="F14" s="498"/>
      <c r="G14" s="498"/>
      <c r="H14" s="499"/>
      <c r="J14" s="215"/>
    </row>
    <row r="15" spans="1:15" ht="16.5" thickBot="1" x14ac:dyDescent="0.3">
      <c r="B15" s="69"/>
      <c r="C15" s="70" t="s">
        <v>76</v>
      </c>
      <c r="D15" s="498"/>
      <c r="E15" s="70" t="s">
        <v>193</v>
      </c>
      <c r="F15" s="498"/>
      <c r="G15" s="677" t="s">
        <v>122</v>
      </c>
      <c r="H15" s="499">
        <f>MATCH(G15,$O$5:$O$7,0)</f>
        <v>3</v>
      </c>
    </row>
    <row r="16" spans="1:15" ht="16.5" thickBot="1" x14ac:dyDescent="0.3">
      <c r="B16" s="168"/>
      <c r="C16" s="169"/>
      <c r="D16" s="169"/>
      <c r="E16" s="169"/>
      <c r="F16" s="169"/>
      <c r="G16" s="169"/>
      <c r="H16" s="170"/>
      <c r="J16" s="215"/>
    </row>
    <row r="17" spans="2:8" ht="16.5" thickBot="1" x14ac:dyDescent="0.3"/>
    <row r="18" spans="2:8" ht="17.100000000000001" customHeight="1" x14ac:dyDescent="0.25">
      <c r="B18" s="249"/>
      <c r="C18" s="250"/>
      <c r="D18" s="250"/>
      <c r="E18" s="250"/>
      <c r="F18" s="250"/>
      <c r="G18" s="250"/>
      <c r="H18" s="251"/>
    </row>
    <row r="19" spans="2:8" ht="45" customHeight="1" x14ac:dyDescent="0.25">
      <c r="B19" s="45"/>
      <c r="C19" s="708" t="str">
        <f>IF(MAX(H9:H15)=3,"Ocjena eliminatornih kriterija nije završena!",IF(MAX(H9:H15)=2,"Isključeno iz daljnje ocjene!","Nema eliminatornih kriterija - nastavite sa ocjenom"))</f>
        <v>Ocjena eliminatornih kriterija nije završena!</v>
      </c>
      <c r="D19" s="708"/>
      <c r="E19" s="708"/>
      <c r="F19" s="708"/>
      <c r="G19" s="708"/>
      <c r="H19" s="49"/>
    </row>
    <row r="20" spans="2:8" ht="17.100000000000001" customHeight="1" thickBot="1" x14ac:dyDescent="0.3">
      <c r="B20" s="211"/>
      <c r="C20" s="51"/>
      <c r="D20" s="51"/>
      <c r="E20" s="51"/>
      <c r="F20" s="51"/>
      <c r="G20" s="51"/>
      <c r="H20" s="212"/>
    </row>
    <row r="29" spans="2:8" x14ac:dyDescent="0.25">
      <c r="C29" s="679" t="s">
        <v>64</v>
      </c>
    </row>
  </sheetData>
  <mergeCells count="1">
    <mergeCell ref="C19:G19"/>
  </mergeCells>
  <conditionalFormatting sqref="G9">
    <cfRule type="containsText" dxfId="230" priority="19" operator="containsText" text="no">
      <formula>NOT(ISERROR(SEARCH("no",G9)))</formula>
    </cfRule>
    <cfRule type="containsText" dxfId="229" priority="20" operator="containsText" text="yes">
      <formula>NOT(ISERROR(SEARCH("yes",G9)))</formula>
    </cfRule>
    <cfRule type="colorScale" priority="1">
      <colorScale>
        <cfvo type="num" val="1"/>
        <cfvo type="num" val="2"/>
        <color rgb="FFFF0000"/>
        <color rgb="FF00B050"/>
      </colorScale>
    </cfRule>
  </conditionalFormatting>
  <conditionalFormatting sqref="G11">
    <cfRule type="containsText" dxfId="228" priority="17" operator="containsText" text="no">
      <formula>NOT(ISERROR(SEARCH("no",G11)))</formula>
    </cfRule>
    <cfRule type="containsText" dxfId="227" priority="18" operator="containsText" text="yes">
      <formula>NOT(ISERROR(SEARCH("yes",G11)))</formula>
    </cfRule>
  </conditionalFormatting>
  <conditionalFormatting sqref="G13">
    <cfRule type="containsText" dxfId="226" priority="11" operator="containsText" text="no">
      <formula>NOT(ISERROR(SEARCH("no",G13)))</formula>
    </cfRule>
    <cfRule type="containsText" dxfId="225" priority="12" operator="containsText" text="yes">
      <formula>NOT(ISERROR(SEARCH("yes",G13)))</formula>
    </cfRule>
  </conditionalFormatting>
  <conditionalFormatting sqref="G15">
    <cfRule type="containsText" dxfId="224" priority="5" operator="containsText" text="no">
      <formula>NOT(ISERROR(SEARCH("no",G15)))</formula>
    </cfRule>
    <cfRule type="containsText" dxfId="223" priority="6" operator="containsText" text="yes">
      <formula>NOT(ISERROR(SEARCH("yes",G15)))</formula>
    </cfRule>
  </conditionalFormatting>
  <conditionalFormatting sqref="C19">
    <cfRule type="expression" dxfId="222" priority="3">
      <formula>MAX($H$9:$H$15)=1</formula>
    </cfRule>
  </conditionalFormatting>
  <dataValidations count="1">
    <dataValidation type="list" allowBlank="1" showInputMessage="1" showErrorMessage="1" error="only yes and no allowed!" prompt="Izaberite da ili ne" sqref="G15 G9 G11 G13">
      <formula1>$M$5:$M$7</formula1>
    </dataValidation>
  </dataValidations>
  <pageMargins left="0.7" right="0.7" top="0.78740157499999996" bottom="0.78740157499999996"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showGridLines="0" workbookViewId="0">
      <selection activeCell="L11" sqref="L11"/>
    </sheetView>
  </sheetViews>
  <sheetFormatPr defaultColWidth="10.875" defaultRowHeight="15" outlineLevelCol="1" x14ac:dyDescent="0.2"/>
  <cols>
    <col min="1" max="1" width="2.875" style="80" customWidth="1"/>
    <col min="2" max="2" width="4.125" style="80" customWidth="1"/>
    <col min="3" max="3" width="9.125" style="80" customWidth="1"/>
    <col min="4" max="4" width="10.875" style="80"/>
    <col min="5" max="5" width="12.375" style="80" customWidth="1"/>
    <col min="6" max="6" width="46.125" style="80" customWidth="1"/>
    <col min="7" max="7" width="17.5" style="80" customWidth="1"/>
    <col min="8" max="9" width="4.125" style="80" customWidth="1"/>
    <col min="10" max="12" width="10.875" style="80"/>
    <col min="13" max="13" width="36" style="80" customWidth="1" outlineLevel="1"/>
    <col min="14" max="14" width="10.875" style="80" outlineLevel="1"/>
    <col min="15" max="15" width="21.875" style="80" customWidth="1" outlineLevel="1"/>
    <col min="16" max="16" width="10.875" style="80" outlineLevel="1"/>
    <col min="17" max="16384" width="10.875" style="80"/>
  </cols>
  <sheetData>
    <row r="1" spans="2:19" s="1" customFormat="1" ht="17.100000000000001" customHeight="1" thickBot="1" x14ac:dyDescent="0.25">
      <c r="C1" s="24"/>
      <c r="D1" s="24"/>
      <c r="E1" s="24"/>
      <c r="G1" s="25"/>
      <c r="H1" s="25"/>
      <c r="K1" s="381"/>
      <c r="L1" s="381"/>
      <c r="M1" s="381"/>
      <c r="N1" s="381"/>
      <c r="O1" s="381"/>
      <c r="P1" s="381"/>
      <c r="Q1" s="381"/>
      <c r="R1" s="381"/>
      <c r="S1" s="381"/>
    </row>
    <row r="2" spans="2:19" s="1" customFormat="1" ht="14.1" customHeight="1" thickBot="1" x14ac:dyDescent="0.25">
      <c r="B2" s="189"/>
      <c r="C2" s="190"/>
      <c r="D2" s="190"/>
      <c r="E2" s="190"/>
      <c r="F2" s="191"/>
      <c r="G2" s="191"/>
      <c r="H2" s="192"/>
      <c r="K2" s="382"/>
      <c r="L2" s="381"/>
      <c r="M2" s="383" t="s">
        <v>44</v>
      </c>
      <c r="N2" s="384"/>
      <c r="O2" s="381"/>
      <c r="P2" s="381" t="s">
        <v>62</v>
      </c>
      <c r="Q2" s="381"/>
      <c r="R2" s="381"/>
      <c r="S2" s="381"/>
    </row>
    <row r="3" spans="2:19" s="1" customFormat="1" ht="17.100000000000001" customHeight="1" x14ac:dyDescent="0.2">
      <c r="B3" s="47"/>
      <c r="C3" s="193" t="s">
        <v>511</v>
      </c>
      <c r="D3" s="193"/>
      <c r="E3" s="193"/>
      <c r="F3" s="193"/>
      <c r="G3" s="193"/>
      <c r="H3" s="194"/>
      <c r="K3" s="382"/>
      <c r="L3" s="381"/>
      <c r="M3" s="385"/>
      <c r="N3" s="386">
        <v>0</v>
      </c>
      <c r="O3" s="381"/>
      <c r="P3" s="381" t="s">
        <v>118</v>
      </c>
      <c r="Q3" s="381"/>
      <c r="R3" s="381"/>
      <c r="S3" s="381"/>
    </row>
    <row r="4" spans="2:19" s="1" customFormat="1" ht="17.100000000000001" customHeight="1" thickBot="1" x14ac:dyDescent="0.25">
      <c r="B4" s="195"/>
      <c r="C4" s="196"/>
      <c r="D4" s="196"/>
      <c r="E4" s="196"/>
      <c r="F4" s="196"/>
      <c r="G4" s="196"/>
      <c r="H4" s="197"/>
      <c r="K4" s="382"/>
      <c r="L4" s="381"/>
      <c r="M4" s="387"/>
      <c r="N4" s="388">
        <v>1</v>
      </c>
      <c r="O4" s="381"/>
      <c r="P4" s="381"/>
      <c r="Q4" s="381"/>
      <c r="R4" s="381"/>
      <c r="S4" s="381"/>
    </row>
    <row r="5" spans="2:19" s="1" customFormat="1" ht="14.1" customHeight="1" thickBot="1" x14ac:dyDescent="0.25">
      <c r="K5" s="381"/>
      <c r="L5" s="381"/>
      <c r="M5" s="387"/>
      <c r="N5" s="388">
        <v>2</v>
      </c>
      <c r="O5" s="381"/>
      <c r="P5" s="381"/>
      <c r="Q5" s="381"/>
      <c r="R5" s="381"/>
      <c r="S5" s="381"/>
    </row>
    <row r="6" spans="2:19" s="1" customFormat="1" ht="13.5" thickBot="1" x14ac:dyDescent="0.25">
      <c r="B6" s="189"/>
      <c r="C6" s="191"/>
      <c r="D6" s="191"/>
      <c r="E6" s="191"/>
      <c r="F6" s="11"/>
      <c r="G6" s="11"/>
      <c r="H6" s="20"/>
      <c r="K6" s="381"/>
      <c r="L6" s="381"/>
      <c r="M6" s="387"/>
      <c r="N6" s="388">
        <v>3</v>
      </c>
      <c r="O6" s="381"/>
      <c r="P6" s="381"/>
      <c r="Q6" s="381"/>
      <c r="R6" s="381"/>
      <c r="S6" s="381"/>
    </row>
    <row r="7" spans="2:19" s="186" customFormat="1" ht="35.1" customHeight="1" thickBot="1" x14ac:dyDescent="0.25">
      <c r="B7" s="201"/>
      <c r="C7" s="216" t="s">
        <v>330</v>
      </c>
      <c r="D7" s="803" t="s">
        <v>110</v>
      </c>
      <c r="E7" s="804"/>
      <c r="F7" s="217" t="s">
        <v>116</v>
      </c>
      <c r="G7" s="38"/>
      <c r="H7" s="21"/>
      <c r="K7" s="389"/>
      <c r="L7" s="389"/>
      <c r="M7" s="387"/>
      <c r="N7" s="388">
        <v>4</v>
      </c>
      <c r="O7" s="381"/>
      <c r="P7" s="389"/>
      <c r="Q7" s="389"/>
      <c r="R7" s="389"/>
      <c r="S7" s="389"/>
    </row>
    <row r="8" spans="2:19" ht="33.950000000000003" customHeight="1" thickBot="1" x14ac:dyDescent="0.25">
      <c r="B8" s="204">
        <f>'Unos podataka'!F14</f>
        <v>1</v>
      </c>
      <c r="C8" s="207" t="str">
        <f>'Unos podataka'!G14</f>
        <v># 1</v>
      </c>
      <c r="D8" s="805">
        <f>IF(B8&lt;&gt;"",'Unos podataka'!H14,"")</f>
        <v>0</v>
      </c>
      <c r="E8" s="802"/>
      <c r="F8" s="573" t="s">
        <v>118</v>
      </c>
      <c r="G8" s="38"/>
      <c r="H8" s="254">
        <f>IF(F8=$N$9,1,0)</f>
        <v>1</v>
      </c>
      <c r="K8" s="390"/>
      <c r="L8" s="390"/>
      <c r="M8" s="575"/>
      <c r="N8" s="576">
        <v>5</v>
      </c>
      <c r="O8" s="381"/>
      <c r="P8" s="390"/>
      <c r="Q8" s="390"/>
      <c r="R8" s="390"/>
      <c r="S8" s="390"/>
    </row>
    <row r="9" spans="2:19" ht="33.950000000000003" customHeight="1" thickBot="1" x14ac:dyDescent="0.25">
      <c r="B9" s="204">
        <f>'Unos podataka'!F15</f>
        <v>1</v>
      </c>
      <c r="C9" s="207" t="str">
        <f>'Unos podataka'!G15</f>
        <v># 2</v>
      </c>
      <c r="D9" s="805">
        <f>IF(B9&lt;&gt;"",'Unos podataka'!H15,"")</f>
        <v>0</v>
      </c>
      <c r="E9" s="802"/>
      <c r="F9" s="573" t="s">
        <v>118</v>
      </c>
      <c r="G9" s="38"/>
      <c r="H9" s="254">
        <f>IF(F9=$P$3,1,0)</f>
        <v>1</v>
      </c>
      <c r="K9" s="390"/>
      <c r="L9" s="390"/>
      <c r="M9" s="577"/>
      <c r="N9" s="578" t="s">
        <v>118</v>
      </c>
      <c r="O9" s="381"/>
      <c r="P9" s="390"/>
      <c r="Q9" s="390"/>
      <c r="R9" s="390"/>
      <c r="S9" s="390"/>
    </row>
    <row r="10" spans="2:19" ht="33.950000000000003" customHeight="1" thickBot="1" x14ac:dyDescent="0.25">
      <c r="B10" s="204" t="str">
        <f>'Unos podataka'!F16</f>
        <v/>
      </c>
      <c r="C10" s="207" t="str">
        <f>'Unos podataka'!G16</f>
        <v/>
      </c>
      <c r="D10" s="805" t="str">
        <f>IF(B10&lt;&gt;"",'Unos podataka'!H16,"")</f>
        <v/>
      </c>
      <c r="E10" s="802"/>
      <c r="F10" s="573" t="s">
        <v>59</v>
      </c>
      <c r="G10" s="38"/>
      <c r="H10" s="254">
        <f t="shared" ref="H10:H12" si="0">IF(F10=$P$3,1,0)</f>
        <v>0</v>
      </c>
      <c r="K10" s="390"/>
      <c r="L10" s="390"/>
      <c r="M10" s="390"/>
      <c r="N10" s="390"/>
      <c r="O10" s="390"/>
      <c r="P10" s="390"/>
      <c r="Q10" s="390"/>
      <c r="R10" s="390"/>
      <c r="S10" s="390"/>
    </row>
    <row r="11" spans="2:19" ht="33.950000000000003" customHeight="1" thickBot="1" x14ac:dyDescent="0.25">
      <c r="B11" s="204" t="str">
        <f>'Unos podataka'!F17</f>
        <v/>
      </c>
      <c r="C11" s="207" t="str">
        <f>'Unos podataka'!G17</f>
        <v/>
      </c>
      <c r="D11" s="805" t="str">
        <f>IF(B11&lt;&gt;"",'Unos podataka'!H17,"")</f>
        <v/>
      </c>
      <c r="E11" s="802"/>
      <c r="F11" s="573" t="s">
        <v>59</v>
      </c>
      <c r="G11" s="38"/>
      <c r="H11" s="254">
        <f t="shared" si="0"/>
        <v>0</v>
      </c>
      <c r="K11" s="390"/>
      <c r="L11" s="390"/>
      <c r="M11" s="390"/>
      <c r="N11" s="390"/>
      <c r="O11" s="390"/>
      <c r="P11" s="390"/>
      <c r="Q11" s="390"/>
      <c r="R11" s="390"/>
      <c r="S11" s="390"/>
    </row>
    <row r="12" spans="2:19" ht="33.950000000000003" customHeight="1" thickBot="1" x14ac:dyDescent="0.25">
      <c r="B12" s="204" t="str">
        <f>'Unos podataka'!F18</f>
        <v/>
      </c>
      <c r="C12" s="222" t="str">
        <f>'Unos podataka'!G18</f>
        <v/>
      </c>
      <c r="D12" s="805" t="str">
        <f>IF(B12&lt;&gt;"",'Unos podataka'!H18,"")</f>
        <v/>
      </c>
      <c r="E12" s="802"/>
      <c r="F12" s="573" t="s">
        <v>59</v>
      </c>
      <c r="G12" s="38"/>
      <c r="H12" s="254">
        <f t="shared" si="0"/>
        <v>0</v>
      </c>
      <c r="K12" s="390"/>
      <c r="L12" s="390"/>
      <c r="M12" s="390"/>
      <c r="N12" s="390"/>
      <c r="O12" s="390"/>
      <c r="P12" s="390"/>
      <c r="Q12" s="390"/>
      <c r="R12" s="390"/>
      <c r="S12" s="390"/>
    </row>
    <row r="13" spans="2:19" ht="14.1" customHeight="1" thickBot="1" x14ac:dyDescent="0.25">
      <c r="B13" s="211"/>
      <c r="C13" s="51"/>
      <c r="D13" s="51"/>
      <c r="E13" s="51"/>
      <c r="F13" s="51"/>
      <c r="G13" s="51"/>
      <c r="H13" s="212"/>
      <c r="K13" s="390"/>
      <c r="L13" s="390"/>
      <c r="M13" s="390"/>
      <c r="N13" s="390"/>
      <c r="O13" s="390"/>
      <c r="P13" s="390"/>
      <c r="Q13" s="390"/>
      <c r="R13" s="390"/>
      <c r="S13" s="390"/>
    </row>
    <row r="14" spans="2:19" ht="15.75" thickBot="1" x14ac:dyDescent="0.25"/>
    <row r="15" spans="2:19" x14ac:dyDescent="0.2">
      <c r="B15" s="249"/>
      <c r="C15" s="250"/>
      <c r="D15" s="250"/>
      <c r="E15" s="250"/>
      <c r="F15" s="250"/>
      <c r="G15" s="250"/>
      <c r="H15" s="251"/>
    </row>
    <row r="16" spans="2:19" ht="18" x14ac:dyDescent="0.25">
      <c r="B16" s="45"/>
      <c r="C16" s="236" t="s">
        <v>472</v>
      </c>
      <c r="D16" s="46"/>
      <c r="E16" s="46"/>
      <c r="F16" s="46"/>
      <c r="G16" s="46"/>
      <c r="H16" s="49"/>
      <c r="M16" s="208"/>
    </row>
    <row r="17" spans="2:8" ht="15.75" thickBot="1" x14ac:dyDescent="0.25">
      <c r="B17" s="45"/>
      <c r="C17" s="46"/>
      <c r="D17" s="46"/>
      <c r="E17" s="46"/>
      <c r="F17" s="46"/>
      <c r="G17" s="46"/>
      <c r="H17" s="49"/>
    </row>
    <row r="18" spans="2:8" ht="33.950000000000003" customHeight="1" thickBot="1" x14ac:dyDescent="0.25">
      <c r="B18" s="45"/>
      <c r="C18" s="361" t="s">
        <v>45</v>
      </c>
      <c r="D18" s="848" t="s">
        <v>512</v>
      </c>
      <c r="E18" s="848"/>
      <c r="F18" s="848"/>
      <c r="G18" s="849"/>
      <c r="H18" s="252"/>
    </row>
    <row r="19" spans="2:8" ht="16.5" thickBot="1" x14ac:dyDescent="0.25">
      <c r="B19" s="45"/>
      <c r="C19" s="359"/>
      <c r="D19" s="359"/>
      <c r="E19" s="360"/>
      <c r="F19" s="360"/>
      <c r="G19" s="360"/>
      <c r="H19" s="252"/>
    </row>
    <row r="20" spans="2:8" ht="33.950000000000003" customHeight="1" thickBot="1" x14ac:dyDescent="0.25">
      <c r="B20" s="45"/>
      <c r="C20" s="361" t="s">
        <v>46</v>
      </c>
      <c r="D20" s="848" t="s">
        <v>513</v>
      </c>
      <c r="E20" s="848"/>
      <c r="F20" s="848"/>
      <c r="G20" s="849"/>
      <c r="H20" s="252"/>
    </row>
    <row r="21" spans="2:8" ht="16.5" thickBot="1" x14ac:dyDescent="0.25">
      <c r="B21" s="45"/>
      <c r="C21" s="359"/>
      <c r="D21" s="359"/>
      <c r="E21" s="360"/>
      <c r="F21" s="360"/>
      <c r="G21" s="360"/>
      <c r="H21" s="252"/>
    </row>
    <row r="22" spans="2:8" ht="51" customHeight="1" thickBot="1" x14ac:dyDescent="0.25">
      <c r="B22" s="45"/>
      <c r="C22" s="361" t="s">
        <v>47</v>
      </c>
      <c r="D22" s="848" t="s">
        <v>514</v>
      </c>
      <c r="E22" s="848"/>
      <c r="F22" s="848"/>
      <c r="G22" s="849"/>
      <c r="H22" s="252"/>
    </row>
    <row r="23" spans="2:8" ht="16.5" thickBot="1" x14ac:dyDescent="0.25">
      <c r="B23" s="45"/>
      <c r="C23" s="359"/>
      <c r="D23" s="359"/>
      <c r="E23" s="360"/>
      <c r="F23" s="360"/>
      <c r="G23" s="360"/>
      <c r="H23" s="252"/>
    </row>
    <row r="24" spans="2:8" ht="51" customHeight="1" thickBot="1" x14ac:dyDescent="0.25">
      <c r="B24" s="45"/>
      <c r="C24" s="361" t="s">
        <v>48</v>
      </c>
      <c r="D24" s="848" t="s">
        <v>515</v>
      </c>
      <c r="E24" s="848"/>
      <c r="F24" s="848"/>
      <c r="G24" s="849"/>
      <c r="H24" s="252"/>
    </row>
    <row r="25" spans="2:8" ht="16.5" thickBot="1" x14ac:dyDescent="0.25">
      <c r="B25" s="45"/>
      <c r="C25" s="359"/>
      <c r="D25" s="359"/>
      <c r="E25" s="360"/>
      <c r="F25" s="360"/>
      <c r="G25" s="360"/>
      <c r="H25" s="252"/>
    </row>
    <row r="26" spans="2:8" ht="33.950000000000003" customHeight="1" thickBot="1" x14ac:dyDescent="0.25">
      <c r="B26" s="45"/>
      <c r="C26" s="361" t="s">
        <v>49</v>
      </c>
      <c r="D26" s="848" t="s">
        <v>516</v>
      </c>
      <c r="E26" s="848"/>
      <c r="F26" s="848"/>
      <c r="G26" s="849"/>
      <c r="H26" s="252"/>
    </row>
    <row r="27" spans="2:8" ht="16.5" thickBot="1" x14ac:dyDescent="0.25">
      <c r="B27" s="45"/>
      <c r="C27" s="359"/>
      <c r="D27" s="359"/>
      <c r="E27" s="360"/>
      <c r="F27" s="360"/>
      <c r="G27" s="360"/>
      <c r="H27" s="252"/>
    </row>
    <row r="28" spans="2:8" ht="33.950000000000003" customHeight="1" thickBot="1" x14ac:dyDescent="0.25">
      <c r="B28" s="45"/>
      <c r="C28" s="361" t="s">
        <v>50</v>
      </c>
      <c r="D28" s="848" t="s">
        <v>517</v>
      </c>
      <c r="E28" s="848"/>
      <c r="F28" s="848"/>
      <c r="G28" s="849"/>
      <c r="H28" s="252"/>
    </row>
    <row r="29" spans="2:8" ht="15.75" thickBot="1" x14ac:dyDescent="0.25">
      <c r="B29" s="211"/>
      <c r="C29" s="51"/>
      <c r="D29" s="51"/>
      <c r="E29" s="51"/>
      <c r="F29" s="51"/>
      <c r="G29" s="51"/>
      <c r="H29" s="212"/>
    </row>
    <row r="30" spans="2:8" ht="15.75" thickBot="1" x14ac:dyDescent="0.25"/>
    <row r="31" spans="2:8" x14ac:dyDescent="0.2">
      <c r="B31" s="249"/>
      <c r="C31" s="250"/>
      <c r="D31" s="250"/>
      <c r="E31" s="250"/>
      <c r="F31" s="250"/>
      <c r="G31" s="250"/>
      <c r="H31" s="251"/>
    </row>
    <row r="32" spans="2:8" ht="23.25" x14ac:dyDescent="0.35">
      <c r="B32" s="45"/>
      <c r="C32" s="850" t="str">
        <f>IF(C8="","",IF(SUMPRODUCT(B8:B12,H8:H12)&lt;&gt;0,"Ocjena kriterija nije završena!", "Sva vodna tijela su ocijenjena!"))</f>
        <v>Ocjena kriterija nije završena!</v>
      </c>
      <c r="D32" s="850"/>
      <c r="E32" s="850"/>
      <c r="F32" s="850"/>
      <c r="G32" s="850"/>
      <c r="H32" s="673">
        <f>IF(C8="",0,IF(SUMPRODUCT(B8:B12,H8:H12)&lt;&gt;0,0,1))</f>
        <v>0</v>
      </c>
    </row>
    <row r="33" spans="2:8" ht="15.75" thickBot="1" x14ac:dyDescent="0.25">
      <c r="B33" s="211"/>
      <c r="C33" s="51"/>
      <c r="D33" s="51"/>
      <c r="E33" s="51"/>
      <c r="F33" s="51"/>
      <c r="G33" s="51"/>
      <c r="H33" s="212"/>
    </row>
  </sheetData>
  <sheetProtection selectLockedCells="1"/>
  <mergeCells count="13">
    <mergeCell ref="D12:E12"/>
    <mergeCell ref="D7:E7"/>
    <mergeCell ref="D8:E8"/>
    <mergeCell ref="D9:E9"/>
    <mergeCell ref="D10:E10"/>
    <mergeCell ref="D11:E11"/>
    <mergeCell ref="C32:G32"/>
    <mergeCell ref="D18:G18"/>
    <mergeCell ref="D20:G20"/>
    <mergeCell ref="D22:G22"/>
    <mergeCell ref="D24:G24"/>
    <mergeCell ref="D26:G26"/>
    <mergeCell ref="D28:G28"/>
  </mergeCells>
  <conditionalFormatting sqref="C8:C12">
    <cfRule type="expression" dxfId="25" priority="7">
      <formula>$C8="n.a."</formula>
    </cfRule>
  </conditionalFormatting>
  <conditionalFormatting sqref="C32:G32">
    <cfRule type="expression" dxfId="24" priority="5">
      <formula>SUMPRODUCT($B$8:$B$12,$H$8:$H$12)=0</formula>
    </cfRule>
  </conditionalFormatting>
  <conditionalFormatting sqref="F8">
    <cfRule type="expression" dxfId="23" priority="3">
      <formula>B8=""</formula>
    </cfRule>
  </conditionalFormatting>
  <conditionalFormatting sqref="F8">
    <cfRule type="expression" dxfId="22" priority="4">
      <formula>F8=$P$3</formula>
    </cfRule>
  </conditionalFormatting>
  <conditionalFormatting sqref="F9:F12">
    <cfRule type="expression" dxfId="21" priority="1">
      <formula>B9=""</formula>
    </cfRule>
  </conditionalFormatting>
  <conditionalFormatting sqref="F9:F12">
    <cfRule type="expression" dxfId="20" priority="2">
      <formula>F9=$P$3</formula>
    </cfRule>
  </conditionalFormatting>
  <dataValidations count="2">
    <dataValidation type="list" allowBlank="1" showInputMessage="1" showErrorMessage="1" error="Wrong input!" prompt="Please select scoring based on your criterion assessment" sqref="F10:F12">
      <formula1>$N$3:$N$9</formula1>
    </dataValidation>
    <dataValidation type="list" allowBlank="1" showInputMessage="1" showErrorMessage="1" error="Wrong input!" prompt="Izaberite ocjenu" sqref="F9 F8">
      <formula1>$N$3:$N$9</formula1>
    </dataValidation>
  </dataValidation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zoomScaleNormal="100" workbookViewId="0">
      <selection activeCell="L16" sqref="L16"/>
    </sheetView>
  </sheetViews>
  <sheetFormatPr defaultColWidth="10.875" defaultRowHeight="15" outlineLevelCol="1" x14ac:dyDescent="0.2"/>
  <cols>
    <col min="1" max="1" width="2.875" style="80" customWidth="1"/>
    <col min="2" max="2" width="4.125" style="80" customWidth="1"/>
    <col min="3" max="3" width="9" style="80" customWidth="1"/>
    <col min="4" max="4" width="10.875" style="80"/>
    <col min="5" max="5" width="12.375" style="80" customWidth="1"/>
    <col min="6" max="6" width="36.125" style="80" customWidth="1"/>
    <col min="7" max="7" width="17.5" style="80" customWidth="1"/>
    <col min="8" max="8" width="4.125" style="80" customWidth="1"/>
    <col min="9" max="11" width="10.875" style="80"/>
    <col min="12" max="12" width="30.375" style="80" customWidth="1" outlineLevel="1"/>
    <col min="13" max="13" width="10.875" style="80" outlineLevel="1"/>
    <col min="14" max="14" width="21.875" style="80" customWidth="1" outlineLevel="1"/>
    <col min="15" max="16384" width="10.875" style="80"/>
  </cols>
  <sheetData>
    <row r="1" spans="2:14" s="1" customFormat="1" ht="17.100000000000001" customHeight="1" thickBot="1" x14ac:dyDescent="0.25">
      <c r="C1" s="24"/>
      <c r="D1" s="24"/>
      <c r="E1" s="24"/>
      <c r="G1" s="25"/>
    </row>
    <row r="2" spans="2:14" s="1" customFormat="1" ht="14.1" customHeight="1" thickBot="1" x14ac:dyDescent="0.25">
      <c r="B2" s="189"/>
      <c r="C2" s="190"/>
      <c r="D2" s="190"/>
      <c r="E2" s="190"/>
      <c r="F2" s="191"/>
      <c r="G2" s="191"/>
      <c r="H2" s="192"/>
      <c r="J2" s="25"/>
      <c r="L2" s="189" t="s">
        <v>519</v>
      </c>
      <c r="M2" s="191"/>
      <c r="N2" s="192"/>
    </row>
    <row r="3" spans="2:14" s="1" customFormat="1" ht="17.100000000000001" customHeight="1" x14ac:dyDescent="0.2">
      <c r="B3" s="47"/>
      <c r="C3" s="193" t="s">
        <v>518</v>
      </c>
      <c r="D3" s="193"/>
      <c r="E3" s="193"/>
      <c r="F3" s="193"/>
      <c r="G3" s="193"/>
      <c r="H3" s="194"/>
      <c r="J3" s="25"/>
      <c r="L3" s="225" t="s">
        <v>119</v>
      </c>
      <c r="M3" s="226">
        <v>0</v>
      </c>
      <c r="N3" s="227" t="s">
        <v>521</v>
      </c>
    </row>
    <row r="4" spans="2:14" s="1" customFormat="1" ht="17.100000000000001" customHeight="1" thickBot="1" x14ac:dyDescent="0.25">
      <c r="B4" s="195"/>
      <c r="C4" s="196"/>
      <c r="D4" s="196"/>
      <c r="E4" s="196"/>
      <c r="F4" s="196"/>
      <c r="G4" s="196"/>
      <c r="H4" s="197"/>
      <c r="J4" s="25"/>
      <c r="L4" s="228" t="s">
        <v>120</v>
      </c>
      <c r="M4" s="224" t="s">
        <v>520</v>
      </c>
      <c r="N4" s="229" t="s">
        <v>522</v>
      </c>
    </row>
    <row r="5" spans="2:14" s="1" customFormat="1" ht="14.1" customHeight="1" thickBot="1" x14ac:dyDescent="0.25">
      <c r="L5" s="228" t="s">
        <v>118</v>
      </c>
      <c r="M5" s="224"/>
      <c r="N5" s="229"/>
    </row>
    <row r="6" spans="2:14" s="1" customFormat="1" ht="13.5" thickBot="1" x14ac:dyDescent="0.25">
      <c r="B6" s="189"/>
      <c r="C6" s="191"/>
      <c r="D6" s="191"/>
      <c r="E6" s="191"/>
      <c r="F6" s="11"/>
      <c r="G6" s="11"/>
      <c r="H6" s="20"/>
      <c r="L6" s="230" t="s">
        <v>246</v>
      </c>
      <c r="M6" s="231"/>
      <c r="N6" s="232"/>
    </row>
    <row r="7" spans="2:14" s="186" customFormat="1" ht="35.1" customHeight="1" thickBot="1" x14ac:dyDescent="0.25">
      <c r="B7" s="201"/>
      <c r="C7" s="216" t="s">
        <v>330</v>
      </c>
      <c r="D7" s="803" t="s">
        <v>110</v>
      </c>
      <c r="E7" s="804"/>
      <c r="F7" s="216" t="s">
        <v>523</v>
      </c>
      <c r="G7" s="217" t="s">
        <v>116</v>
      </c>
      <c r="H7" s="21"/>
    </row>
    <row r="8" spans="2:14" ht="33.950000000000003" customHeight="1" thickBot="1" x14ac:dyDescent="0.25">
      <c r="B8" s="204">
        <f>'Unos podataka'!F14</f>
        <v>1</v>
      </c>
      <c r="C8" s="207" t="str">
        <f>'Unos podataka'!G14</f>
        <v># 1</v>
      </c>
      <c r="D8" s="805">
        <f>IF(B8&lt;&gt;"",'Unos podataka'!H14,"")</f>
        <v>0</v>
      </c>
      <c r="E8" s="802"/>
      <c r="F8" s="641" t="s">
        <v>118</v>
      </c>
      <c r="G8" s="218" t="str">
        <f>IF(F8=$L$3,0,IF(F8=$L$5,"",$L$6))</f>
        <v/>
      </c>
      <c r="H8" s="254">
        <f>IF(F8=$L$5,1,0)</f>
        <v>1</v>
      </c>
    </row>
    <row r="9" spans="2:14" ht="33.950000000000003" customHeight="1" thickBot="1" x14ac:dyDescent="0.25">
      <c r="B9" s="204">
        <f>'Unos podataka'!F15</f>
        <v>1</v>
      </c>
      <c r="C9" s="207" t="str">
        <f>'Unos podataka'!G15</f>
        <v># 2</v>
      </c>
      <c r="D9" s="805">
        <f>IF(B9&lt;&gt;"",'Unos podataka'!H15,"")</f>
        <v>0</v>
      </c>
      <c r="E9" s="802"/>
      <c r="F9" s="641" t="s">
        <v>118</v>
      </c>
      <c r="G9" s="218" t="str">
        <f>IF(F9=$L$3,0,IF(F9=$L$5,"",$L$6))</f>
        <v/>
      </c>
      <c r="H9" s="254">
        <f>IF(F9=$L$5,1,0)</f>
        <v>1</v>
      </c>
    </row>
    <row r="10" spans="2:14" ht="33.950000000000003" customHeight="1" thickBot="1" x14ac:dyDescent="0.25">
      <c r="B10" s="204" t="str">
        <f>'Unos podataka'!F16</f>
        <v/>
      </c>
      <c r="C10" s="207" t="str">
        <f>'Unos podataka'!G16</f>
        <v/>
      </c>
      <c r="D10" s="805" t="str">
        <f>IF(B10&lt;&gt;"",'Unos podataka'!H16,"")</f>
        <v/>
      </c>
      <c r="E10" s="802"/>
      <c r="F10" s="641" t="s">
        <v>59</v>
      </c>
      <c r="G10" s="218" t="str">
        <f>IF(F10=$L$3,0,IF(F10=$L$5,"",$L$6))</f>
        <v>Nije primjenjivo</v>
      </c>
      <c r="H10" s="254">
        <f>IF(F10=$L$5,1,0)</f>
        <v>0</v>
      </c>
    </row>
    <row r="11" spans="2:14" ht="33.950000000000003" customHeight="1" thickBot="1" x14ac:dyDescent="0.25">
      <c r="B11" s="204" t="str">
        <f>'Unos podataka'!F17</f>
        <v/>
      </c>
      <c r="C11" s="207" t="str">
        <f>'Unos podataka'!G17</f>
        <v/>
      </c>
      <c r="D11" s="805" t="str">
        <f>IF(B11&lt;&gt;"",'Unos podataka'!H17,"")</f>
        <v/>
      </c>
      <c r="E11" s="802"/>
      <c r="F11" s="641" t="s">
        <v>59</v>
      </c>
      <c r="G11" s="218" t="str">
        <f>IF(F11=$L$3,0,IF(F11=$L$5,"",$L$6))</f>
        <v>Nije primjenjivo</v>
      </c>
      <c r="H11" s="254">
        <f>IF(F11=$L$5,1,0)</f>
        <v>0</v>
      </c>
    </row>
    <row r="12" spans="2:14" ht="33.950000000000003" customHeight="1" thickBot="1" x14ac:dyDescent="0.25">
      <c r="B12" s="204" t="str">
        <f>'Unos podataka'!F18</f>
        <v/>
      </c>
      <c r="C12" s="207" t="str">
        <f>'Unos podataka'!G18</f>
        <v/>
      </c>
      <c r="D12" s="805" t="str">
        <f>IF(B12&lt;&gt;"",'Unos podataka'!H18,"")</f>
        <v/>
      </c>
      <c r="E12" s="802"/>
      <c r="F12" s="641" t="s">
        <v>59</v>
      </c>
      <c r="G12" s="218" t="str">
        <f>IF(F12=$L$3,0,IF(F12=$L$5,"",$L$6))</f>
        <v>Nije primjenjivo</v>
      </c>
      <c r="H12" s="254">
        <f>IF(F12=$L$5,1,0)</f>
        <v>0</v>
      </c>
    </row>
    <row r="13" spans="2:14" ht="15.75" thickBot="1" x14ac:dyDescent="0.25">
      <c r="B13" s="211"/>
      <c r="C13" s="51"/>
      <c r="D13" s="51"/>
      <c r="E13" s="51"/>
      <c r="F13" s="51"/>
      <c r="G13" s="51"/>
      <c r="H13" s="212"/>
    </row>
    <row r="14" spans="2:14" ht="15.75" thickBot="1" x14ac:dyDescent="0.25"/>
    <row r="15" spans="2:14" x14ac:dyDescent="0.2">
      <c r="B15" s="249"/>
      <c r="C15" s="250"/>
      <c r="D15" s="250"/>
      <c r="E15" s="250"/>
      <c r="F15" s="250"/>
      <c r="G15" s="250"/>
      <c r="H15" s="251"/>
    </row>
    <row r="16" spans="2:14" ht="23.25" x14ac:dyDescent="0.35">
      <c r="B16" s="45"/>
      <c r="C16" s="850" t="str">
        <f>IF(C8="","",IF(SUMPRODUCT(B8:B12,H8:H12)&lt;&gt;0,"Ocjena kriterija nije završena!", "Sva vodna tijela su ocijenjena!"))</f>
        <v>Ocjena kriterija nije završena!</v>
      </c>
      <c r="D16" s="850"/>
      <c r="E16" s="850"/>
      <c r="F16" s="850"/>
      <c r="G16" s="850"/>
      <c r="H16" s="672">
        <f>IF(C8="",0,IF(SUMPRODUCT(B8:B12,H8:H12)&lt;&gt;0,0,1))</f>
        <v>0</v>
      </c>
    </row>
    <row r="17" spans="2:8" ht="15.75" thickBot="1" x14ac:dyDescent="0.25">
      <c r="B17" s="211"/>
      <c r="C17" s="51"/>
      <c r="D17" s="51"/>
      <c r="E17" s="51"/>
      <c r="F17" s="51"/>
      <c r="G17" s="51"/>
      <c r="H17" s="212"/>
    </row>
  </sheetData>
  <mergeCells count="7">
    <mergeCell ref="C16:G16"/>
    <mergeCell ref="D7:E7"/>
    <mergeCell ref="D8:E8"/>
    <mergeCell ref="D9:E9"/>
    <mergeCell ref="D10:E10"/>
    <mergeCell ref="D11:E11"/>
    <mergeCell ref="D12:E12"/>
  </mergeCells>
  <conditionalFormatting sqref="C8:C12">
    <cfRule type="expression" dxfId="19" priority="10">
      <formula>$C8="n.a."</formula>
    </cfRule>
  </conditionalFormatting>
  <conditionalFormatting sqref="F8:F12">
    <cfRule type="expression" dxfId="18" priority="9">
      <formula>B8&lt;&gt;1</formula>
    </cfRule>
  </conditionalFormatting>
  <conditionalFormatting sqref="G8:G12">
    <cfRule type="expression" dxfId="17" priority="8">
      <formula>B8&lt;&gt;1</formula>
    </cfRule>
  </conditionalFormatting>
  <conditionalFormatting sqref="C16">
    <cfRule type="expression" dxfId="16" priority="82">
      <formula>SUMPRODUCT($B$8:$B$12,$H$8:$H$12)=0</formula>
    </cfRule>
  </conditionalFormatting>
  <conditionalFormatting sqref="G8:G12">
    <cfRule type="expression" dxfId="15" priority="1">
      <formula>G8=0</formula>
    </cfRule>
  </conditionalFormatting>
  <dataValidations count="2">
    <dataValidation type="list" allowBlank="1" showInputMessage="1" showErrorMessage="1" error="Wrong input!" prompt="Please select if ecological status is high or not" sqref="F10:F12">
      <formula1>$L$3:$L$5</formula1>
    </dataValidation>
    <dataValidation type="list" allowBlank="1" showInputMessage="1" showErrorMessage="1" error="Wrong input!" prompt="Izaberite da li je projekat planiran na osjetljivom tipu voda" sqref="F8 F9">
      <formula1>$L$3:$L$5</formula1>
    </dataValidation>
  </dataValidation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
  <sheetViews>
    <sheetView showGridLines="0" zoomScaleNormal="100" workbookViewId="0">
      <selection activeCell="K10" sqref="K10"/>
    </sheetView>
  </sheetViews>
  <sheetFormatPr defaultColWidth="10.875" defaultRowHeight="15" outlineLevelCol="1" x14ac:dyDescent="0.2"/>
  <cols>
    <col min="1" max="1" width="2.875" style="80" customWidth="1"/>
    <col min="2" max="2" width="4.125" style="80" customWidth="1"/>
    <col min="3" max="3" width="9" style="80" customWidth="1"/>
    <col min="4" max="4" width="10.875" style="80"/>
    <col min="5" max="5" width="12.375" style="80" customWidth="1"/>
    <col min="6" max="6" width="50.375" style="80" customWidth="1"/>
    <col min="7" max="7" width="17.5" style="80" customWidth="1"/>
    <col min="8" max="8" width="4.125" style="80" customWidth="1"/>
    <col min="9" max="11" width="10.875" style="80"/>
    <col min="12" max="12" width="30.375" style="80" customWidth="1"/>
    <col min="13" max="13" width="10.875" style="80"/>
    <col min="14" max="14" width="21.625" style="80" customWidth="1" outlineLevel="1"/>
    <col min="15" max="15" width="10.875" style="80" customWidth="1" outlineLevel="1"/>
    <col min="16" max="16" width="12.375" style="80" customWidth="1" outlineLevel="1"/>
    <col min="17" max="16384" width="10.875" style="80"/>
  </cols>
  <sheetData>
    <row r="1" spans="2:16" s="1" customFormat="1" ht="17.100000000000001" customHeight="1" thickBot="1" x14ac:dyDescent="0.25">
      <c r="C1" s="24"/>
      <c r="D1" s="24"/>
      <c r="E1" s="24"/>
      <c r="G1" s="25"/>
    </row>
    <row r="2" spans="2:16" s="1" customFormat="1" ht="14.1" customHeight="1" thickBot="1" x14ac:dyDescent="0.25">
      <c r="B2" s="189"/>
      <c r="C2" s="190"/>
      <c r="D2" s="190"/>
      <c r="E2" s="190"/>
      <c r="F2" s="191"/>
      <c r="G2" s="191"/>
      <c r="H2" s="192"/>
      <c r="J2" s="25"/>
      <c r="N2" s="189" t="s">
        <v>36</v>
      </c>
      <c r="O2" s="191"/>
      <c r="P2" s="192"/>
    </row>
    <row r="3" spans="2:16" s="1" customFormat="1" ht="17.100000000000001" customHeight="1" x14ac:dyDescent="0.2">
      <c r="B3" s="47"/>
      <c r="C3" s="193" t="s">
        <v>524</v>
      </c>
      <c r="D3" s="193"/>
      <c r="E3" s="193"/>
      <c r="F3" s="193"/>
      <c r="G3" s="193"/>
      <c r="H3" s="194"/>
      <c r="J3" s="25"/>
      <c r="N3" s="225" t="s">
        <v>119</v>
      </c>
      <c r="O3" s="226"/>
      <c r="P3" s="227"/>
    </row>
    <row r="4" spans="2:16" s="1" customFormat="1" ht="17.100000000000001" customHeight="1" thickBot="1" x14ac:dyDescent="0.25">
      <c r="B4" s="195"/>
      <c r="C4" s="196"/>
      <c r="D4" s="196"/>
      <c r="E4" s="196"/>
      <c r="F4" s="196"/>
      <c r="G4" s="196"/>
      <c r="H4" s="197"/>
      <c r="J4" s="25"/>
      <c r="N4" s="228" t="s">
        <v>120</v>
      </c>
      <c r="O4" s="224"/>
      <c r="P4" s="229"/>
    </row>
    <row r="5" spans="2:16" s="1" customFormat="1" ht="14.1" customHeight="1" thickBot="1" x14ac:dyDescent="0.25">
      <c r="N5" s="228" t="s">
        <v>118</v>
      </c>
      <c r="O5" s="224"/>
      <c r="P5" s="229"/>
    </row>
    <row r="6" spans="2:16" s="1" customFormat="1" ht="13.5" thickBot="1" x14ac:dyDescent="0.25">
      <c r="B6" s="189"/>
      <c r="C6" s="191"/>
      <c r="D6" s="191"/>
      <c r="E6" s="191"/>
      <c r="F6" s="11"/>
      <c r="G6" s="11"/>
      <c r="H6" s="20"/>
      <c r="N6" s="230" t="s">
        <v>246</v>
      </c>
      <c r="O6" s="231"/>
      <c r="P6" s="232"/>
    </row>
    <row r="7" spans="2:16" s="186" customFormat="1" ht="35.1" customHeight="1" thickBot="1" x14ac:dyDescent="0.25">
      <c r="B7" s="201"/>
      <c r="C7" s="216" t="s">
        <v>330</v>
      </c>
      <c r="D7" s="803" t="s">
        <v>110</v>
      </c>
      <c r="E7" s="804"/>
      <c r="F7" s="216" t="s">
        <v>525</v>
      </c>
      <c r="G7" s="217" t="s">
        <v>0</v>
      </c>
      <c r="H7" s="21"/>
    </row>
    <row r="8" spans="2:16" ht="33.950000000000003" customHeight="1" thickBot="1" x14ac:dyDescent="0.25">
      <c r="B8" s="204">
        <f>'Unos podataka'!F14</f>
        <v>1</v>
      </c>
      <c r="C8" s="207" t="str">
        <f>'Unos podataka'!G14</f>
        <v># 1</v>
      </c>
      <c r="D8" s="805">
        <f>IF(B8&lt;&gt;"",'Unos podataka'!H14,"")</f>
        <v>0</v>
      </c>
      <c r="E8" s="802"/>
      <c r="F8" s="641" t="s">
        <v>118</v>
      </c>
      <c r="G8" s="218" t="str">
        <f>IF(F8=$N$3,0,IF(F8=$N$5,"",$N$6))</f>
        <v/>
      </c>
      <c r="H8" s="254">
        <f>IF(F8=$N$5,1,0)</f>
        <v>1</v>
      </c>
    </row>
    <row r="9" spans="2:16" ht="33.950000000000003" customHeight="1" thickBot="1" x14ac:dyDescent="0.25">
      <c r="B9" s="204">
        <f>'Unos podataka'!F15</f>
        <v>1</v>
      </c>
      <c r="C9" s="207" t="str">
        <f>'Unos podataka'!G15</f>
        <v># 2</v>
      </c>
      <c r="D9" s="805">
        <f>IF(B9&lt;&gt;"",'Unos podataka'!H15,"")</f>
        <v>0</v>
      </c>
      <c r="E9" s="802"/>
      <c r="F9" s="641" t="s">
        <v>118</v>
      </c>
      <c r="G9" s="218" t="str">
        <f>IF(F9=$N$3,0,IF(F9=$N$5,"",$N$6))</f>
        <v/>
      </c>
      <c r="H9" s="254">
        <f t="shared" ref="H9:H12" si="0">IF(F9=$N$5,1,0)</f>
        <v>1</v>
      </c>
    </row>
    <row r="10" spans="2:16" ht="33.950000000000003" customHeight="1" thickBot="1" x14ac:dyDescent="0.25">
      <c r="B10" s="204" t="str">
        <f>'Unos podataka'!F16</f>
        <v/>
      </c>
      <c r="C10" s="207" t="str">
        <f>'Unos podataka'!G16</f>
        <v/>
      </c>
      <c r="D10" s="805" t="str">
        <f>IF(B10&lt;&gt;"",'Unos podataka'!H16,"")</f>
        <v/>
      </c>
      <c r="E10" s="802"/>
      <c r="F10" s="641" t="s">
        <v>59</v>
      </c>
      <c r="G10" s="218" t="str">
        <f>IF(F10=$N$3,0,IF(F10=$N$5,"",$N$6))</f>
        <v>Nije primjenjivo</v>
      </c>
      <c r="H10" s="254">
        <f t="shared" si="0"/>
        <v>0</v>
      </c>
    </row>
    <row r="11" spans="2:16" ht="33.950000000000003" customHeight="1" thickBot="1" x14ac:dyDescent="0.25">
      <c r="B11" s="204" t="str">
        <f>'Unos podataka'!F17</f>
        <v/>
      </c>
      <c r="C11" s="207" t="str">
        <f>'Unos podataka'!G17</f>
        <v/>
      </c>
      <c r="D11" s="805" t="str">
        <f>IF(B11&lt;&gt;"",'Unos podataka'!H17,"")</f>
        <v/>
      </c>
      <c r="E11" s="802"/>
      <c r="F11" s="641" t="s">
        <v>59</v>
      </c>
      <c r="G11" s="218" t="str">
        <f>IF(F11=$N$3,0,IF(F11=$N$5,"",$N$6))</f>
        <v>Nije primjenjivo</v>
      </c>
      <c r="H11" s="254">
        <f t="shared" si="0"/>
        <v>0</v>
      </c>
    </row>
    <row r="12" spans="2:16" ht="33.950000000000003" customHeight="1" thickBot="1" x14ac:dyDescent="0.25">
      <c r="B12" s="204" t="str">
        <f>'Unos podataka'!F18</f>
        <v/>
      </c>
      <c r="C12" s="207" t="str">
        <f>'Unos podataka'!G18</f>
        <v/>
      </c>
      <c r="D12" s="805" t="str">
        <f>IF(B12&lt;&gt;"",'Unos podataka'!H18,"")</f>
        <v/>
      </c>
      <c r="E12" s="802"/>
      <c r="F12" s="641" t="s">
        <v>59</v>
      </c>
      <c r="G12" s="218" t="str">
        <f>IF(F12=$N$3,0,IF(F12=$N$5,"",$N$6))</f>
        <v>Nije primjenjivo</v>
      </c>
      <c r="H12" s="254">
        <f t="shared" si="0"/>
        <v>0</v>
      </c>
    </row>
    <row r="13" spans="2:16" ht="15.75" thickBot="1" x14ac:dyDescent="0.25">
      <c r="B13" s="211"/>
      <c r="C13" s="51"/>
      <c r="D13" s="51"/>
      <c r="E13" s="51"/>
      <c r="F13" s="51"/>
      <c r="G13" s="51"/>
      <c r="H13" s="212"/>
    </row>
    <row r="14" spans="2:16" ht="15.75" thickBot="1" x14ac:dyDescent="0.25"/>
    <row r="15" spans="2:16" x14ac:dyDescent="0.2">
      <c r="B15" s="249"/>
      <c r="C15" s="250"/>
      <c r="D15" s="250"/>
      <c r="E15" s="250"/>
      <c r="F15" s="250"/>
      <c r="G15" s="250"/>
      <c r="H15" s="251"/>
    </row>
    <row r="16" spans="2:16" ht="23.25" x14ac:dyDescent="0.35">
      <c r="B16" s="45"/>
      <c r="C16" s="850" t="str">
        <f>IF(C8="","",IF(SUMPRODUCT(B8:B12,H8:H12)&lt;&gt;0,"Ocjena nije završena!", "Sva vodna tijela su ocijenjena!"))</f>
        <v>Ocjena nije završena!</v>
      </c>
      <c r="D16" s="850"/>
      <c r="E16" s="850"/>
      <c r="F16" s="850"/>
      <c r="G16" s="850"/>
      <c r="H16" s="672">
        <f>IF(C8="",0,IF(SUMPRODUCT(B8:B12,H8:H12)&lt;&gt;0,0,1))</f>
        <v>0</v>
      </c>
    </row>
    <row r="17" spans="2:12" ht="15.75" thickBot="1" x14ac:dyDescent="0.25">
      <c r="B17" s="211"/>
      <c r="C17" s="51"/>
      <c r="D17" s="51"/>
      <c r="E17" s="51"/>
      <c r="F17" s="51"/>
      <c r="G17" s="51"/>
      <c r="H17" s="212"/>
    </row>
    <row r="20" spans="2:12" ht="19.5" thickBot="1" x14ac:dyDescent="0.35">
      <c r="B20" s="523"/>
    </row>
    <row r="21" spans="2:12" ht="15.95" customHeight="1" x14ac:dyDescent="0.25">
      <c r="B21" s="871"/>
      <c r="C21" s="872"/>
      <c r="D21" s="872"/>
      <c r="E21" s="872"/>
      <c r="F21" s="872"/>
      <c r="G21" s="875"/>
      <c r="H21" s="897"/>
      <c r="I21" s="898"/>
      <c r="J21" s="898"/>
      <c r="K21" s="898"/>
      <c r="L21" s="899"/>
    </row>
    <row r="22" spans="2:12" ht="15.75" x14ac:dyDescent="0.25">
      <c r="B22" s="873"/>
      <c r="C22" s="874"/>
      <c r="D22" s="874"/>
      <c r="E22" s="874"/>
      <c r="F22" s="874"/>
      <c r="G22" s="876"/>
      <c r="H22" s="895"/>
      <c r="I22" s="896"/>
      <c r="J22" s="895"/>
      <c r="K22" s="900"/>
      <c r="L22" s="901"/>
    </row>
    <row r="23" spans="2:12" ht="15.95" customHeight="1" x14ac:dyDescent="0.2">
      <c r="B23" s="886"/>
      <c r="C23" s="887"/>
      <c r="D23" s="887"/>
      <c r="E23" s="887"/>
      <c r="F23" s="888"/>
      <c r="G23" s="883"/>
      <c r="H23" s="863"/>
      <c r="I23" s="864"/>
      <c r="J23" s="877"/>
      <c r="K23" s="877"/>
      <c r="L23" s="878"/>
    </row>
    <row r="24" spans="2:12" x14ac:dyDescent="0.2">
      <c r="B24" s="889"/>
      <c r="C24" s="890"/>
      <c r="D24" s="890"/>
      <c r="E24" s="890"/>
      <c r="F24" s="891"/>
      <c r="G24" s="884"/>
      <c r="H24" s="865"/>
      <c r="I24" s="866"/>
      <c r="J24" s="877"/>
      <c r="K24" s="877"/>
      <c r="L24" s="878"/>
    </row>
    <row r="25" spans="2:12" x14ac:dyDescent="0.2">
      <c r="B25" s="889"/>
      <c r="C25" s="890"/>
      <c r="D25" s="890"/>
      <c r="E25" s="890"/>
      <c r="F25" s="891"/>
      <c r="G25" s="884"/>
      <c r="H25" s="867"/>
      <c r="I25" s="868"/>
      <c r="J25" s="877"/>
      <c r="K25" s="877"/>
      <c r="L25" s="878"/>
    </row>
    <row r="26" spans="2:12" x14ac:dyDescent="0.2">
      <c r="B26" s="889"/>
      <c r="C26" s="890"/>
      <c r="D26" s="890"/>
      <c r="E26" s="890"/>
      <c r="F26" s="891"/>
      <c r="G26" s="884"/>
      <c r="H26" s="863"/>
      <c r="I26" s="864"/>
      <c r="J26" s="879"/>
      <c r="K26" s="879"/>
      <c r="L26" s="880"/>
    </row>
    <row r="27" spans="2:12" x14ac:dyDescent="0.2">
      <c r="B27" s="889"/>
      <c r="C27" s="890"/>
      <c r="D27" s="890"/>
      <c r="E27" s="890"/>
      <c r="F27" s="891"/>
      <c r="G27" s="884"/>
      <c r="H27" s="865"/>
      <c r="I27" s="866"/>
      <c r="J27" s="879"/>
      <c r="K27" s="879"/>
      <c r="L27" s="880"/>
    </row>
    <row r="28" spans="2:12" ht="15.75" thickBot="1" x14ac:dyDescent="0.25">
      <c r="B28" s="892"/>
      <c r="C28" s="893"/>
      <c r="D28" s="893"/>
      <c r="E28" s="893"/>
      <c r="F28" s="894"/>
      <c r="G28" s="885"/>
      <c r="H28" s="869"/>
      <c r="I28" s="870"/>
      <c r="J28" s="881"/>
      <c r="K28" s="881"/>
      <c r="L28" s="882"/>
    </row>
  </sheetData>
  <mergeCells count="18">
    <mergeCell ref="H23:I25"/>
    <mergeCell ref="H26:I28"/>
    <mergeCell ref="B21:F22"/>
    <mergeCell ref="G21:G22"/>
    <mergeCell ref="J23:L25"/>
    <mergeCell ref="J26:L28"/>
    <mergeCell ref="G23:G28"/>
    <mergeCell ref="B23:F28"/>
    <mergeCell ref="H22:I22"/>
    <mergeCell ref="H21:L21"/>
    <mergeCell ref="J22:L22"/>
    <mergeCell ref="C16:G16"/>
    <mergeCell ref="D7:E7"/>
    <mergeCell ref="D8:E8"/>
    <mergeCell ref="D9:E9"/>
    <mergeCell ref="D10:E10"/>
    <mergeCell ref="D11:E11"/>
    <mergeCell ref="D12:E12"/>
  </mergeCells>
  <conditionalFormatting sqref="C8:C12">
    <cfRule type="expression" dxfId="14" priority="4">
      <formula>$C8="n.a."</formula>
    </cfRule>
  </conditionalFormatting>
  <conditionalFormatting sqref="F8:F12">
    <cfRule type="expression" dxfId="13" priority="3">
      <formula>B8&lt;&gt;1</formula>
    </cfRule>
  </conditionalFormatting>
  <conditionalFormatting sqref="G8:G12">
    <cfRule type="expression" dxfId="12" priority="2">
      <formula>B8&lt;&gt;1</formula>
    </cfRule>
  </conditionalFormatting>
  <conditionalFormatting sqref="C16">
    <cfRule type="expression" dxfId="11" priority="5">
      <formula>SUMPRODUCT($B$8:$B$12,$H$8:$H$12)=0</formula>
    </cfRule>
  </conditionalFormatting>
  <conditionalFormatting sqref="G8:G12">
    <cfRule type="expression" dxfId="10" priority="1">
      <formula>G8=0</formula>
    </cfRule>
  </conditionalFormatting>
  <dataValidations count="2">
    <dataValidation type="list" allowBlank="1" showInputMessage="1" showErrorMessage="1" error="Wrong input!" prompt="Please select if ecological status is high or not" sqref="F10:F12">
      <formula1>$N$3:$N$5</formula1>
    </dataValidation>
    <dataValidation type="list" allowBlank="1" showInputMessage="1" showErrorMessage="1" error="Wrong input!" prompt="Izaberite da li je projekat planiran na os. i jed. v.t." sqref="F8 F9">
      <formula1>$N$3:$N$5</formula1>
    </dataValidation>
  </dataValidation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
  <sheetViews>
    <sheetView tabSelected="1" topLeftCell="A4" workbookViewId="0">
      <selection activeCell="E11" sqref="E11"/>
    </sheetView>
  </sheetViews>
  <sheetFormatPr defaultColWidth="10.875" defaultRowHeight="12.75" x14ac:dyDescent="0.2"/>
  <cols>
    <col min="1" max="2" width="4" style="1" customWidth="1"/>
    <col min="3" max="3" width="10.875" style="1" customWidth="1"/>
    <col min="4" max="4" width="26.5" style="1" customWidth="1"/>
    <col min="5" max="9" width="10" style="1" customWidth="1"/>
    <col min="10" max="11" width="10.875" style="1" customWidth="1"/>
    <col min="12" max="12" width="4.125" style="1" customWidth="1"/>
    <col min="13" max="13" width="10.875" style="1"/>
    <col min="14" max="16384" width="10.875" style="52"/>
  </cols>
  <sheetData>
    <row r="1" spans="1:23" ht="13.5" thickBot="1" x14ac:dyDescent="0.25"/>
    <row r="2" spans="1:23" x14ac:dyDescent="0.2">
      <c r="B2" s="189"/>
      <c r="C2" s="190"/>
      <c r="D2" s="191"/>
      <c r="E2" s="190"/>
      <c r="F2" s="190"/>
      <c r="G2" s="191"/>
      <c r="H2" s="191"/>
      <c r="I2" s="191"/>
      <c r="J2" s="191"/>
      <c r="K2" s="191"/>
      <c r="L2" s="192"/>
    </row>
    <row r="3" spans="1:23" ht="18" x14ac:dyDescent="0.2">
      <c r="B3" s="47"/>
      <c r="C3" s="236" t="s">
        <v>526</v>
      </c>
      <c r="D3" s="235"/>
      <c r="E3" s="236"/>
      <c r="F3" s="236"/>
      <c r="G3" s="236"/>
      <c r="H3" s="236"/>
      <c r="I3" s="235"/>
      <c r="J3" s="235"/>
      <c r="K3" s="235"/>
      <c r="L3" s="194"/>
      <c r="P3" s="454" t="s">
        <v>63</v>
      </c>
    </row>
    <row r="4" spans="1:23" ht="18.75" thickBot="1" x14ac:dyDescent="0.25">
      <c r="B4" s="195"/>
      <c r="C4" s="196"/>
      <c r="D4" s="199"/>
      <c r="E4" s="196"/>
      <c r="F4" s="196"/>
      <c r="G4" s="196"/>
      <c r="H4" s="196"/>
      <c r="I4" s="199"/>
      <c r="J4" s="199"/>
      <c r="K4" s="199"/>
      <c r="L4" s="197"/>
      <c r="P4" s="52" t="s">
        <v>246</v>
      </c>
    </row>
    <row r="5" spans="1:23" ht="13.5" thickBot="1" x14ac:dyDescent="0.25"/>
    <row r="6" spans="1:23" ht="13.5" thickBot="1" x14ac:dyDescent="0.25">
      <c r="A6" s="459"/>
      <c r="B6" s="189"/>
      <c r="C6" s="448"/>
      <c r="D6" s="191"/>
      <c r="E6" s="191"/>
      <c r="F6" s="191"/>
      <c r="G6" s="191"/>
      <c r="H6" s="191"/>
      <c r="I6" s="191"/>
      <c r="J6" s="191"/>
      <c r="K6" s="191"/>
      <c r="L6" s="192"/>
    </row>
    <row r="7" spans="1:23" ht="33.950000000000003" customHeight="1" thickBot="1" x14ac:dyDescent="0.3">
      <c r="A7" s="460"/>
      <c r="B7" s="47"/>
      <c r="C7" s="449"/>
      <c r="D7" s="235"/>
      <c r="E7" s="904" t="s">
        <v>56</v>
      </c>
      <c r="F7" s="799"/>
      <c r="G7" s="799"/>
      <c r="H7" s="799"/>
      <c r="I7" s="799"/>
      <c r="J7" s="799"/>
      <c r="K7" s="800"/>
      <c r="L7" s="444"/>
      <c r="M7" s="188"/>
      <c r="P7" s="530" t="s">
        <v>96</v>
      </c>
    </row>
    <row r="8" spans="1:23" ht="125.1" customHeight="1" thickBot="1" x14ac:dyDescent="0.25">
      <c r="A8" s="461"/>
      <c r="B8" s="445"/>
      <c r="C8" s="216" t="s">
        <v>330</v>
      </c>
      <c r="D8" s="371" t="s">
        <v>110</v>
      </c>
      <c r="E8" s="355" t="s">
        <v>527</v>
      </c>
      <c r="F8" s="355" t="s">
        <v>528</v>
      </c>
      <c r="G8" s="355" t="s">
        <v>529</v>
      </c>
      <c r="H8" s="355" t="s">
        <v>530</v>
      </c>
      <c r="I8" s="355" t="s">
        <v>531</v>
      </c>
      <c r="J8" s="355" t="s">
        <v>532</v>
      </c>
      <c r="K8" s="355" t="s">
        <v>533</v>
      </c>
      <c r="L8" s="395"/>
      <c r="M8" s="25"/>
      <c r="P8" s="604" t="s">
        <v>536</v>
      </c>
      <c r="Q8" s="605" t="s">
        <v>537</v>
      </c>
      <c r="R8" s="605" t="s">
        <v>538</v>
      </c>
      <c r="S8" s="605" t="s">
        <v>539</v>
      </c>
      <c r="T8" s="605" t="s">
        <v>540</v>
      </c>
      <c r="U8" s="605" t="s">
        <v>541</v>
      </c>
      <c r="V8" s="605" t="s">
        <v>542</v>
      </c>
      <c r="W8" s="606"/>
    </row>
    <row r="9" spans="1:23" ht="33.950000000000003" customHeight="1" thickBot="1" x14ac:dyDescent="0.25">
      <c r="A9" s="462"/>
      <c r="B9" s="202"/>
      <c r="C9" s="207" t="str">
        <f>'Unos podataka'!G14</f>
        <v># 1</v>
      </c>
      <c r="D9" s="447">
        <f>IF(C9&lt;&gt;"",'Unos podataka'!H14,"")</f>
        <v>0</v>
      </c>
      <c r="E9" s="602" t="str">
        <f>IF(C9&lt;&gt;"",'ZP1 - Zaštita vrsta'!F8,"")</f>
        <v>Izaberi</v>
      </c>
      <c r="F9" s="602" t="str">
        <f>IF(C9&lt;&gt;"",'ZP2 - Zaštita priridnog staništ'!F8,"")</f>
        <v>Izaberi</v>
      </c>
      <c r="G9" s="668" t="str">
        <f>IF(C9&lt;&gt;"",'ZP3 - Ekosistem'!F8,"")</f>
        <v>Izaberi</v>
      </c>
      <c r="H9" s="602" t="str">
        <f>IF(C9&lt;&gt;"",'ZP4 - Pejzaž i rekreacijska vr.'!L28,"")</f>
        <v/>
      </c>
      <c r="I9" s="602" t="str">
        <f>IF(C9&lt;&gt;"",'ZP5 - Prirodni značaj vodotoka'!F8,"")</f>
        <v>Izaberite</v>
      </c>
      <c r="J9" s="602" t="str">
        <f>IF(C9&lt;&gt;"",'ZP6 - Osjetljivi tipovi voda'!G8,"")</f>
        <v/>
      </c>
      <c r="K9" s="602" t="str">
        <f>IF(C9&lt;&gt;"",'ZP7 - Osjetljiva i jed. V.T.'!G8,"")</f>
        <v/>
      </c>
      <c r="L9" s="446"/>
      <c r="M9" s="187"/>
      <c r="P9" s="607">
        <f t="shared" ref="P9:U13" si="0">IF($C9="","",IF(OR(ISNUMBER(E9),E9=$P$4),1,0))</f>
        <v>0</v>
      </c>
      <c r="Q9" s="603">
        <f t="shared" si="0"/>
        <v>0</v>
      </c>
      <c r="R9" s="603">
        <f>IF($C9="","",IF(OR(ISNUMBER(G9),G9=$P$4),1,0))</f>
        <v>0</v>
      </c>
      <c r="S9" s="603">
        <f t="shared" si="0"/>
        <v>0</v>
      </c>
      <c r="T9" s="603">
        <f t="shared" si="0"/>
        <v>0</v>
      </c>
      <c r="U9" s="603">
        <f t="shared" si="0"/>
        <v>0</v>
      </c>
      <c r="V9" s="603">
        <f>IF($C9="","",IF(OR(ISNUMBER(K9),K9=$P$4),1,0))</f>
        <v>0</v>
      </c>
      <c r="W9" s="608">
        <f>IF(C9="","",PRODUCT(P9:V9))</f>
        <v>0</v>
      </c>
    </row>
    <row r="10" spans="1:23" ht="33.950000000000003" customHeight="1" thickBot="1" x14ac:dyDescent="0.25">
      <c r="A10" s="462"/>
      <c r="B10" s="202"/>
      <c r="C10" s="207" t="str">
        <f>'Unos podataka'!G15</f>
        <v># 2</v>
      </c>
      <c r="D10" s="447">
        <f>IF(C10&lt;&gt;"",'Unos podataka'!H15,"")</f>
        <v>0</v>
      </c>
      <c r="E10" s="602" t="str">
        <f>IF(C10&lt;&gt;"",'ZP1 - Zaštita vrsta'!F9,"")</f>
        <v>Izaberi</v>
      </c>
      <c r="F10" s="602" t="str">
        <f>IF(C10&lt;&gt;"",'ZP2 - Zaštita priridnog staništ'!F9,"")</f>
        <v>Izaberi</v>
      </c>
      <c r="G10" s="602" t="str">
        <f>IF(C10&lt;&gt;"",'ZP3 - Ekosistem'!F9,"")</f>
        <v>Izaberi</v>
      </c>
      <c r="H10" s="602" t="str">
        <f>IF(C10&lt;&gt;"",'ZP4 - Pejzaž i rekreacijska vr.'!L29,"")</f>
        <v/>
      </c>
      <c r="I10" s="602" t="str">
        <f>IF(C10&lt;&gt;"",'ZP5 - Prirodni značaj vodotoka'!F9,"")</f>
        <v>Izaberite</v>
      </c>
      <c r="J10" s="602" t="str">
        <f>IF(C10&lt;&gt;"",'ZP6 - Osjetljivi tipovi voda'!G9,"")</f>
        <v/>
      </c>
      <c r="K10" s="602" t="str">
        <f>IF(C10&lt;&gt;"",'ZP7 - Osjetljiva i jed. V.T.'!G9,"")</f>
        <v/>
      </c>
      <c r="L10" s="446"/>
      <c r="M10" s="187"/>
      <c r="P10" s="607">
        <f t="shared" si="0"/>
        <v>0</v>
      </c>
      <c r="Q10" s="603">
        <f t="shared" si="0"/>
        <v>0</v>
      </c>
      <c r="R10" s="603">
        <f t="shared" si="0"/>
        <v>0</v>
      </c>
      <c r="S10" s="603">
        <f t="shared" si="0"/>
        <v>0</v>
      </c>
      <c r="T10" s="603">
        <f t="shared" si="0"/>
        <v>0</v>
      </c>
      <c r="U10" s="603">
        <f t="shared" si="0"/>
        <v>0</v>
      </c>
      <c r="V10" s="603">
        <f>IF($C10="","",IF(OR(ISNUMBER(K10),K10=$P$4),1,0))</f>
        <v>0</v>
      </c>
      <c r="W10" s="608">
        <f>IF(C10="","",PRODUCT(P10:V10))</f>
        <v>0</v>
      </c>
    </row>
    <row r="11" spans="1:23" ht="33.950000000000003" customHeight="1" thickBot="1" x14ac:dyDescent="0.25">
      <c r="A11" s="462"/>
      <c r="B11" s="202"/>
      <c r="C11" s="207" t="str">
        <f>'Unos podataka'!G16</f>
        <v/>
      </c>
      <c r="D11" s="447" t="str">
        <f>IF(C11&lt;&gt;"",'Unos podataka'!H16,"")</f>
        <v/>
      </c>
      <c r="E11" s="602" t="str">
        <f>IF(C11&lt;&gt;"",'ZP1 - Zaštita vrsta'!F10,"")</f>
        <v/>
      </c>
      <c r="F11" s="602" t="str">
        <f>IF(C11&lt;&gt;"",'ZP2 - Zaštita priridnog staništ'!F10,"")</f>
        <v/>
      </c>
      <c r="G11" s="602" t="str">
        <f>IF(C11&lt;&gt;"",'ZP3 - Ekosistem'!F10,"")</f>
        <v/>
      </c>
      <c r="H11" s="602" t="str">
        <f>IF(C11&lt;&gt;"",'ZP4 - Pejzaž i rekreacijska vr.'!L30,"")</f>
        <v/>
      </c>
      <c r="I11" s="602" t="str">
        <f>IF(C11&lt;&gt;"",'ZP5 - Prirodni značaj vodotoka'!F10,"")</f>
        <v/>
      </c>
      <c r="J11" s="602" t="str">
        <f>IF(C11&lt;&gt;"",'ZP6 - Osjetljivi tipovi voda'!G10,"")</f>
        <v/>
      </c>
      <c r="K11" s="602" t="str">
        <f>IF(C11&lt;&gt;"",'ZP7 - Osjetljiva i jed. V.T.'!G10,"")</f>
        <v/>
      </c>
      <c r="L11" s="446"/>
      <c r="M11" s="187"/>
      <c r="P11" s="607" t="str">
        <f t="shared" si="0"/>
        <v/>
      </c>
      <c r="Q11" s="603" t="str">
        <f t="shared" si="0"/>
        <v/>
      </c>
      <c r="R11" s="603" t="str">
        <f t="shared" si="0"/>
        <v/>
      </c>
      <c r="S11" s="603" t="str">
        <f t="shared" si="0"/>
        <v/>
      </c>
      <c r="T11" s="603" t="str">
        <f t="shared" si="0"/>
        <v/>
      </c>
      <c r="U11" s="603" t="str">
        <f t="shared" si="0"/>
        <v/>
      </c>
      <c r="V11" s="603" t="str">
        <f t="shared" ref="V11:V13" si="1">IF($C11="","",IF(OR(ISNUMBER(K11),K11=$P$4),1,0))</f>
        <v/>
      </c>
      <c r="W11" s="608" t="str">
        <f>IF(C11="","",PRODUCT(P11:V11))</f>
        <v/>
      </c>
    </row>
    <row r="12" spans="1:23" ht="33.950000000000003" customHeight="1" thickBot="1" x14ac:dyDescent="0.25">
      <c r="A12" s="462"/>
      <c r="B12" s="202"/>
      <c r="C12" s="207" t="str">
        <f>'Unos podataka'!G17</f>
        <v/>
      </c>
      <c r="D12" s="447" t="str">
        <f>IF(C12&lt;&gt;"",'Unos podataka'!H17,"")</f>
        <v/>
      </c>
      <c r="E12" s="602" t="str">
        <f>IF(C12&lt;&gt;"",'ZP1 - Zaštita vrsta'!F11,"")</f>
        <v/>
      </c>
      <c r="F12" s="602" t="str">
        <f>IF(C12&lt;&gt;"",'ZP2 - Zaštita priridnog staništ'!F11,"")</f>
        <v/>
      </c>
      <c r="G12" s="602" t="str">
        <f>IF(C12&lt;&gt;"",'ZP3 - Ekosistem'!F11,"")</f>
        <v/>
      </c>
      <c r="H12" s="602" t="str">
        <f>IF(C12&lt;&gt;"",'ZP4 - Pejzaž i rekreacijska vr.'!L31,"")</f>
        <v/>
      </c>
      <c r="I12" s="602" t="str">
        <f>IF(C12&lt;&gt;"",'ZP5 - Prirodni značaj vodotoka'!F11,"")</f>
        <v/>
      </c>
      <c r="J12" s="602" t="str">
        <f>IF(C12&lt;&gt;"",'ZP6 - Osjetljivi tipovi voda'!G11,"")</f>
        <v/>
      </c>
      <c r="K12" s="602" t="str">
        <f>IF(C12&lt;&gt;"",'ZP7 - Osjetljiva i jed. V.T.'!G11,"")</f>
        <v/>
      </c>
      <c r="L12" s="446"/>
      <c r="M12" s="187"/>
      <c r="P12" s="607" t="str">
        <f t="shared" si="0"/>
        <v/>
      </c>
      <c r="Q12" s="603" t="str">
        <f t="shared" si="0"/>
        <v/>
      </c>
      <c r="R12" s="603" t="str">
        <f t="shared" si="0"/>
        <v/>
      </c>
      <c r="S12" s="603" t="str">
        <f t="shared" si="0"/>
        <v/>
      </c>
      <c r="T12" s="603" t="str">
        <f t="shared" si="0"/>
        <v/>
      </c>
      <c r="U12" s="603" t="str">
        <f t="shared" si="0"/>
        <v/>
      </c>
      <c r="V12" s="603" t="str">
        <f t="shared" si="1"/>
        <v/>
      </c>
      <c r="W12" s="608" t="str">
        <f>IF(C12="","",PRODUCT(P12:V12))</f>
        <v/>
      </c>
    </row>
    <row r="13" spans="1:23" ht="33.950000000000003" customHeight="1" thickBot="1" x14ac:dyDescent="0.25">
      <c r="A13" s="462"/>
      <c r="B13" s="202"/>
      <c r="C13" s="368" t="str">
        <f>'Unos podataka'!G18</f>
        <v/>
      </c>
      <c r="D13" s="451" t="str">
        <f>IF(C13&lt;&gt;"",'Unos podataka'!H18,"")</f>
        <v/>
      </c>
      <c r="E13" s="602" t="str">
        <f>IF(C13&lt;&gt;"",'ZP1 - Zaštita vrsta'!F12,"")</f>
        <v/>
      </c>
      <c r="F13" s="602" t="str">
        <f>IF(C13&lt;&gt;"",'ZP2 - Zaštita priridnog staništ'!F12,"")</f>
        <v/>
      </c>
      <c r="G13" s="602" t="str">
        <f>IF(C13&lt;&gt;"",'ZP3 - Ekosistem'!F12,"")</f>
        <v/>
      </c>
      <c r="H13" s="602" t="str">
        <f>IF(C13&lt;&gt;"",'ZP4 - Pejzaž i rekreacijska vr.'!L32,"")</f>
        <v/>
      </c>
      <c r="I13" s="602" t="str">
        <f>IF(C13&lt;&gt;"",'ZP5 - Prirodni značaj vodotoka'!F12,"")</f>
        <v/>
      </c>
      <c r="J13" s="602" t="str">
        <f>IF(C13&lt;&gt;"",'ZP6 - Osjetljivi tipovi voda'!G12,"")</f>
        <v/>
      </c>
      <c r="K13" s="602" t="str">
        <f>IF(C13&lt;&gt;"",'ZP7 - Osjetljiva i jed. V.T.'!G12,"")</f>
        <v/>
      </c>
      <c r="L13" s="446"/>
      <c r="M13" s="187"/>
      <c r="P13" s="609" t="str">
        <f t="shared" si="0"/>
        <v/>
      </c>
      <c r="Q13" s="610" t="str">
        <f t="shared" si="0"/>
        <v/>
      </c>
      <c r="R13" s="610" t="str">
        <f t="shared" si="0"/>
        <v/>
      </c>
      <c r="S13" s="610" t="str">
        <f t="shared" si="0"/>
        <v/>
      </c>
      <c r="T13" s="610" t="str">
        <f t="shared" si="0"/>
        <v/>
      </c>
      <c r="U13" s="610" t="str">
        <f t="shared" si="0"/>
        <v/>
      </c>
      <c r="V13" s="610" t="str">
        <f t="shared" si="1"/>
        <v/>
      </c>
      <c r="W13" s="611" t="str">
        <f>IF(C13="","",PRODUCT(P13:V13))</f>
        <v/>
      </c>
    </row>
    <row r="14" spans="1:23" ht="35.1" customHeight="1" thickBot="1" x14ac:dyDescent="0.25">
      <c r="A14" s="462"/>
      <c r="B14" s="202"/>
      <c r="C14" s="803" t="s">
        <v>183</v>
      </c>
      <c r="D14" s="804"/>
      <c r="E14" s="452">
        <f>MIN(E9:E13)</f>
        <v>0</v>
      </c>
      <c r="F14" s="452">
        <f>MIN(F9:F13)</f>
        <v>0</v>
      </c>
      <c r="G14" s="452">
        <f>MIN(G9:G13)</f>
        <v>0</v>
      </c>
      <c r="H14" s="452">
        <f>MIN(H9:H13)</f>
        <v>0</v>
      </c>
      <c r="I14" s="452">
        <f>MIN(I9:I13)</f>
        <v>0</v>
      </c>
      <c r="J14" s="453" t="str">
        <f>IF((COUNTIF(J9:J13,0))=0,P4, 0)</f>
        <v>Nije primjenjivo</v>
      </c>
      <c r="K14" s="453" t="str">
        <f>IF((COUNTIF(K9:K13,0))=0,P4, 0)</f>
        <v>Nije primjenjivo</v>
      </c>
      <c r="L14" s="446"/>
      <c r="M14" s="187"/>
    </row>
    <row r="15" spans="1:23" ht="9.9499999999999993" customHeight="1" thickBot="1" x14ac:dyDescent="0.25">
      <c r="A15" s="462"/>
      <c r="B15" s="202"/>
      <c r="C15" s="456"/>
      <c r="D15" s="456"/>
      <c r="E15" s="457"/>
      <c r="F15" s="457"/>
      <c r="G15" s="457"/>
      <c r="H15" s="457"/>
      <c r="I15" s="457"/>
      <c r="J15" s="458"/>
      <c r="K15" s="458"/>
      <c r="L15" s="446"/>
      <c r="M15" s="187"/>
    </row>
    <row r="16" spans="1:23" ht="35.1" customHeight="1" thickBot="1" x14ac:dyDescent="0.25">
      <c r="A16" s="462"/>
      <c r="B16" s="202"/>
      <c r="C16" s="902" t="s">
        <v>534</v>
      </c>
      <c r="D16" s="903"/>
      <c r="E16" s="455">
        <f>COUNTIF(E14:K14,0)</f>
        <v>5</v>
      </c>
      <c r="F16" s="457"/>
      <c r="G16" s="457"/>
      <c r="H16" s="457"/>
      <c r="I16" s="457"/>
      <c r="J16" s="458"/>
      <c r="K16" s="458"/>
      <c r="L16" s="446"/>
      <c r="M16" s="187"/>
    </row>
    <row r="17" spans="1:12" ht="13.5" thickBot="1" x14ac:dyDescent="0.25">
      <c r="A17" s="459"/>
      <c r="B17" s="47"/>
      <c r="C17" s="235"/>
      <c r="D17" s="235"/>
      <c r="E17" s="235"/>
      <c r="F17" s="235"/>
      <c r="G17" s="235"/>
      <c r="H17" s="235"/>
      <c r="I17" s="235"/>
      <c r="J17" s="235"/>
      <c r="K17" s="235"/>
      <c r="L17" s="50"/>
    </row>
    <row r="18" spans="1:12" ht="33.950000000000003" customHeight="1" thickBot="1" x14ac:dyDescent="0.25">
      <c r="B18" s="47"/>
      <c r="C18" s="840" t="s">
        <v>535</v>
      </c>
      <c r="D18" s="841"/>
      <c r="E18" s="841"/>
      <c r="F18" s="842"/>
      <c r="G18" s="329" t="str">
        <f>IF(MIN(W9:W13)=0,"",IF(E16&gt;2,0,IF(E16=2,0.5,IF(E16=1,1,(SUM(E14:K14)/(COUNTIF(E14:K14,"&lt;&gt;not applicable")))))))</f>
        <v/>
      </c>
      <c r="H18" s="235"/>
      <c r="I18" s="235"/>
      <c r="J18" s="235"/>
      <c r="K18" s="235"/>
      <c r="L18" s="50"/>
    </row>
    <row r="19" spans="1:12" ht="13.5" thickBot="1" x14ac:dyDescent="0.25">
      <c r="B19" s="195"/>
      <c r="C19" s="450"/>
      <c r="D19" s="199"/>
      <c r="E19" s="199"/>
      <c r="F19" s="199"/>
      <c r="G19" s="199"/>
      <c r="H19" s="199"/>
      <c r="I19" s="199"/>
      <c r="J19" s="199"/>
      <c r="K19" s="199"/>
      <c r="L19" s="200"/>
    </row>
    <row r="23" spans="1:12" x14ac:dyDescent="0.2">
      <c r="E23" s="612"/>
    </row>
    <row r="26" spans="1:12" x14ac:dyDescent="0.2">
      <c r="J26" s="612" t="str">
        <f>J10</f>
        <v/>
      </c>
    </row>
  </sheetData>
  <mergeCells count="4">
    <mergeCell ref="C14:D14"/>
    <mergeCell ref="C18:F18"/>
    <mergeCell ref="C16:D16"/>
    <mergeCell ref="E7:K7"/>
  </mergeCells>
  <phoneticPr fontId="57" type="noConversion"/>
  <conditionalFormatting sqref="C9:C13">
    <cfRule type="expression" dxfId="9" priority="30">
      <formula>$C9="n.a."</formula>
    </cfRule>
  </conditionalFormatting>
  <conditionalFormatting sqref="E9:F9 H9:K9">
    <cfRule type="expression" dxfId="8" priority="9">
      <formula>ISNUMBER(E9)</formula>
    </cfRule>
  </conditionalFormatting>
  <conditionalFormatting sqref="E9:F9 H9:K9">
    <cfRule type="expression" dxfId="7" priority="8">
      <formula>$C9=""</formula>
    </cfRule>
  </conditionalFormatting>
  <conditionalFormatting sqref="E9:F9 H9:K9">
    <cfRule type="expression" dxfId="6" priority="7">
      <formula>E9=$P$4</formula>
    </cfRule>
  </conditionalFormatting>
  <conditionalFormatting sqref="E10:K13">
    <cfRule type="expression" dxfId="5" priority="6">
      <formula>ISNUMBER(E10)</formula>
    </cfRule>
  </conditionalFormatting>
  <conditionalFormatting sqref="E10:K13">
    <cfRule type="expression" dxfId="4" priority="5">
      <formula>$C10=""</formula>
    </cfRule>
  </conditionalFormatting>
  <conditionalFormatting sqref="E10:K13">
    <cfRule type="expression" dxfId="3" priority="4">
      <formula>E10=$P$4</formula>
    </cfRule>
  </conditionalFormatting>
  <conditionalFormatting sqref="G9">
    <cfRule type="expression" dxfId="2" priority="3">
      <formula>ISNUMBER(G9)</formula>
    </cfRule>
  </conditionalFormatting>
  <conditionalFormatting sqref="G9">
    <cfRule type="expression" dxfId="1" priority="2">
      <formula>$C9=""</formula>
    </cfRule>
  </conditionalFormatting>
  <conditionalFormatting sqref="G9">
    <cfRule type="expression" dxfId="0" priority="1">
      <formula>G9=$P$4</formula>
    </cfRule>
  </conditionalFormatting>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18"/>
  <sheetViews>
    <sheetView showGridLines="0" zoomScaleNormal="100" workbookViewId="0">
      <selection activeCell="O2" sqref="O2"/>
    </sheetView>
  </sheetViews>
  <sheetFormatPr defaultColWidth="10.875" defaultRowHeight="15" outlineLevelCol="1" x14ac:dyDescent="0.2"/>
  <cols>
    <col min="1" max="2" width="3.875" style="80" customWidth="1"/>
    <col min="3" max="3" width="16.125" style="80" customWidth="1"/>
    <col min="4" max="4" width="3.875" style="80" customWidth="1"/>
    <col min="5" max="5" width="19.375" style="80" customWidth="1"/>
    <col min="6" max="6" width="3.875" style="80" customWidth="1"/>
    <col min="7" max="7" width="15.125" style="80" customWidth="1"/>
    <col min="8" max="8" width="3.875" style="80" customWidth="1"/>
    <col min="9" max="9" width="12.625" style="80" bestFit="1" customWidth="1"/>
    <col min="10" max="10" width="3.875" style="80" customWidth="1"/>
    <col min="11" max="11" width="10.875" style="80"/>
    <col min="12" max="12" width="10.875" style="80" outlineLevel="1"/>
    <col min="13" max="13" width="16.625" style="80" customWidth="1" outlineLevel="1"/>
    <col min="14" max="15" width="10.875" style="80" outlineLevel="1"/>
    <col min="16" max="16384" width="10.875" style="80"/>
  </cols>
  <sheetData>
    <row r="1" spans="1:15" ht="15.75" thickBot="1" x14ac:dyDescent="0.25">
      <c r="A1" s="1"/>
      <c r="B1" s="1"/>
      <c r="C1" s="24"/>
      <c r="D1" s="1"/>
      <c r="E1" s="25"/>
      <c r="F1" s="1"/>
      <c r="G1" s="24"/>
      <c r="H1" s="1"/>
      <c r="I1" s="1"/>
      <c r="J1" s="1"/>
    </row>
    <row r="2" spans="1:15" ht="15.75" thickBot="1" x14ac:dyDescent="0.25">
      <c r="A2" s="1"/>
      <c r="B2" s="6"/>
      <c r="C2" s="10"/>
      <c r="D2" s="11"/>
      <c r="E2" s="12"/>
      <c r="F2" s="11"/>
      <c r="G2" s="10"/>
      <c r="H2" s="11"/>
      <c r="I2" s="11"/>
      <c r="J2" s="20"/>
      <c r="L2" s="732" t="s">
        <v>125</v>
      </c>
      <c r="M2" s="733"/>
      <c r="N2" s="734"/>
      <c r="O2" s="88" t="s">
        <v>116</v>
      </c>
    </row>
    <row r="3" spans="1:15" ht="17.100000000000001" customHeight="1" x14ac:dyDescent="0.2">
      <c r="A3" s="1"/>
      <c r="B3" s="7"/>
      <c r="C3" s="731" t="s">
        <v>131</v>
      </c>
      <c r="D3" s="731"/>
      <c r="E3" s="731"/>
      <c r="F3" s="731"/>
      <c r="G3" s="731"/>
      <c r="H3" s="731"/>
      <c r="I3" s="731"/>
      <c r="J3" s="30"/>
      <c r="L3" s="105">
        <v>0.8</v>
      </c>
      <c r="M3" s="93" t="s">
        <v>9</v>
      </c>
      <c r="N3" s="94">
        <v>0</v>
      </c>
      <c r="O3" s="90">
        <v>5</v>
      </c>
    </row>
    <row r="4" spans="1:15" ht="17.100000000000001" customHeight="1" thickBot="1" x14ac:dyDescent="0.25">
      <c r="A4" s="1"/>
      <c r="B4" s="31"/>
      <c r="C4" s="32"/>
      <c r="D4" s="32"/>
      <c r="E4" s="32"/>
      <c r="F4" s="32"/>
      <c r="G4" s="32"/>
      <c r="H4" s="32"/>
      <c r="I4" s="32"/>
      <c r="J4" s="23"/>
      <c r="L4" s="106">
        <v>1.1499999999999999</v>
      </c>
      <c r="M4" s="95" t="s">
        <v>9</v>
      </c>
      <c r="N4" s="98">
        <v>0.80000009999999999</v>
      </c>
      <c r="O4" s="91">
        <v>4</v>
      </c>
    </row>
    <row r="5" spans="1:15" ht="17.100000000000001" customHeight="1" thickBot="1" x14ac:dyDescent="0.25">
      <c r="A5" s="1"/>
      <c r="B5" s="1"/>
      <c r="C5" s="26"/>
      <c r="D5" s="26"/>
      <c r="E5" s="26"/>
      <c r="F5" s="26"/>
      <c r="G5" s="26"/>
      <c r="H5" s="26"/>
      <c r="I5" s="26"/>
      <c r="J5" s="1"/>
      <c r="L5" s="106">
        <v>1.5</v>
      </c>
      <c r="M5" s="95" t="s">
        <v>9</v>
      </c>
      <c r="N5" s="98">
        <v>1.1500000000099999</v>
      </c>
      <c r="O5" s="91">
        <v>3</v>
      </c>
    </row>
    <row r="6" spans="1:15" ht="17.100000000000001" customHeight="1" x14ac:dyDescent="0.2">
      <c r="A6" s="1"/>
      <c r="B6" s="6"/>
      <c r="C6" s="10"/>
      <c r="D6" s="11"/>
      <c r="E6" s="12"/>
      <c r="F6" s="11"/>
      <c r="G6" s="10"/>
      <c r="H6" s="11"/>
      <c r="I6" s="11"/>
      <c r="J6" s="20"/>
      <c r="L6" s="106">
        <v>1.85</v>
      </c>
      <c r="M6" s="95" t="s">
        <v>9</v>
      </c>
      <c r="N6" s="98">
        <v>1.5000001000000001</v>
      </c>
      <c r="O6" s="91">
        <v>2</v>
      </c>
    </row>
    <row r="7" spans="1:15" ht="15.75" x14ac:dyDescent="0.2">
      <c r="A7" s="2"/>
      <c r="B7" s="8"/>
      <c r="C7" s="34" t="s">
        <v>123</v>
      </c>
      <c r="D7" s="34"/>
      <c r="E7" s="35"/>
      <c r="F7" s="35"/>
      <c r="G7" s="35"/>
      <c r="H7" s="35"/>
      <c r="I7" s="36"/>
      <c r="J7" s="22"/>
      <c r="L7" s="106">
        <v>2.2000000000000002</v>
      </c>
      <c r="M7" s="95" t="s">
        <v>9</v>
      </c>
      <c r="N7" s="98">
        <v>1.85000001</v>
      </c>
      <c r="O7" s="91">
        <v>1</v>
      </c>
    </row>
    <row r="8" spans="1:15" ht="15.75" thickBot="1" x14ac:dyDescent="0.25">
      <c r="A8" s="1"/>
      <c r="B8" s="7"/>
      <c r="C8" s="37"/>
      <c r="D8" s="38"/>
      <c r="E8" s="39"/>
      <c r="F8" s="38"/>
      <c r="G8" s="37"/>
      <c r="H8" s="38"/>
      <c r="I8" s="38"/>
      <c r="J8" s="21"/>
      <c r="L8" s="107"/>
      <c r="M8" s="96" t="s">
        <v>10</v>
      </c>
      <c r="N8" s="99">
        <v>2.2000001</v>
      </c>
      <c r="O8" s="92">
        <v>0</v>
      </c>
    </row>
    <row r="9" spans="1:15" ht="33.950000000000003" customHeight="1" thickBot="1" x14ac:dyDescent="0.25">
      <c r="A9" s="1"/>
      <c r="B9" s="7"/>
      <c r="C9" s="3" t="str">
        <f>'Unos podataka'!C11</f>
        <v>Ukupna investicija (mio. KM)</v>
      </c>
      <c r="D9" s="39" t="s">
        <v>1</v>
      </c>
      <c r="E9" s="3" t="str">
        <f>'Unos podataka'!C9</f>
        <v>Predviđena godišnja proizvodnja (MWh/a)</v>
      </c>
      <c r="F9" s="39" t="s">
        <v>3</v>
      </c>
      <c r="G9" s="3" t="s">
        <v>124</v>
      </c>
      <c r="H9" s="40"/>
      <c r="I9" s="728" t="str">
        <f>IF(G11="","",VLOOKUP(G11,N3:O8,2))</f>
        <v/>
      </c>
      <c r="J9" s="21"/>
    </row>
    <row r="10" spans="1:15" ht="9.9499999999999993" customHeight="1" thickBot="1" x14ac:dyDescent="0.25">
      <c r="A10" s="1"/>
      <c r="B10" s="7"/>
      <c r="C10" s="39"/>
      <c r="D10" s="40"/>
      <c r="E10" s="39"/>
      <c r="F10" s="40"/>
      <c r="G10" s="39"/>
      <c r="H10" s="40"/>
      <c r="I10" s="729"/>
      <c r="J10" s="21"/>
    </row>
    <row r="11" spans="1:15" ht="20.100000000000001" customHeight="1" thickBot="1" x14ac:dyDescent="0.25">
      <c r="A11" s="1"/>
      <c r="B11" s="7"/>
      <c r="C11" s="29" t="str">
        <f>IF('Unos podataka'!E11="","",'Unos podataka'!E11)</f>
        <v/>
      </c>
      <c r="D11" s="39" t="s">
        <v>1</v>
      </c>
      <c r="E11" s="97" t="str">
        <f>IF('Unos podataka'!E9="","",'Unos podataka'!E9)</f>
        <v/>
      </c>
      <c r="F11" s="39" t="s">
        <v>3</v>
      </c>
      <c r="G11" s="73" t="str">
        <f>IF(OR(C11="",E11=""),"",C11*1000000/(E11*1000))</f>
        <v/>
      </c>
      <c r="H11" s="40"/>
      <c r="I11" s="730"/>
      <c r="J11" s="21"/>
    </row>
    <row r="12" spans="1:15" ht="15.75" thickBot="1" x14ac:dyDescent="0.25">
      <c r="A12" s="1"/>
      <c r="B12" s="31"/>
      <c r="C12" s="41"/>
      <c r="D12" s="19"/>
      <c r="E12" s="42"/>
      <c r="F12" s="19"/>
      <c r="G12" s="19"/>
      <c r="H12" s="19"/>
      <c r="I12" s="19"/>
      <c r="J12" s="23"/>
    </row>
    <row r="13" spans="1:15" ht="18" x14ac:dyDescent="0.2">
      <c r="A13" s="1"/>
      <c r="B13" s="1"/>
      <c r="C13" s="26"/>
      <c r="D13" s="26"/>
      <c r="E13" s="26"/>
      <c r="F13" s="26"/>
      <c r="G13" s="26"/>
      <c r="H13" s="26"/>
      <c r="I13" s="26"/>
      <c r="J13" s="1"/>
    </row>
    <row r="15" spans="1:15" ht="23.25" x14ac:dyDescent="0.35">
      <c r="B15" s="86"/>
    </row>
    <row r="17" spans="3:9" x14ac:dyDescent="0.2">
      <c r="C17" s="613"/>
    </row>
    <row r="18" spans="3:9" x14ac:dyDescent="0.2">
      <c r="I18" s="61"/>
    </row>
  </sheetData>
  <mergeCells count="3">
    <mergeCell ref="I9:I11"/>
    <mergeCell ref="C3:I3"/>
    <mergeCell ref="L2:N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7"/>
  <sheetViews>
    <sheetView showGridLines="0" zoomScaleNormal="100" workbookViewId="0">
      <selection activeCell="O2" sqref="O2"/>
    </sheetView>
  </sheetViews>
  <sheetFormatPr defaultColWidth="11" defaultRowHeight="15.75" outlineLevelCol="1" x14ac:dyDescent="0.25"/>
  <cols>
    <col min="1" max="2" width="3.875" style="5" customWidth="1"/>
    <col min="3" max="3" width="18.875" style="5" customWidth="1"/>
    <col min="4" max="4" width="3.875" style="5" customWidth="1"/>
    <col min="5" max="5" width="21.875" style="5" customWidth="1"/>
    <col min="6" max="6" width="3.875" style="5" customWidth="1"/>
    <col min="7" max="7" width="15.125" style="5" customWidth="1"/>
    <col min="8" max="8" width="3.875" style="5" customWidth="1"/>
    <col min="9" max="9" width="12.625" style="5" bestFit="1" customWidth="1"/>
    <col min="10" max="10" width="3.875" style="5" customWidth="1"/>
    <col min="11" max="11" width="10.875" style="5"/>
    <col min="12" max="12" width="10.875" style="5" outlineLevel="1"/>
    <col min="13" max="13" width="22" style="5" customWidth="1" outlineLevel="1"/>
    <col min="14" max="15" width="10.875" style="5" outlineLevel="1"/>
  </cols>
  <sheetData>
    <row r="1" spans="1:15" ht="16.5" thickBot="1" x14ac:dyDescent="0.3">
      <c r="A1" s="1"/>
      <c r="B1" s="1"/>
      <c r="C1" s="24"/>
      <c r="D1" s="1"/>
      <c r="E1" s="25"/>
      <c r="F1" s="1"/>
      <c r="G1" s="24"/>
      <c r="H1" s="1"/>
      <c r="I1" s="1"/>
      <c r="J1" s="1"/>
    </row>
    <row r="2" spans="1:15" ht="17.100000000000001" customHeight="1" thickBot="1" x14ac:dyDescent="0.3">
      <c r="A2" s="1"/>
      <c r="B2" s="6"/>
      <c r="C2" s="10"/>
      <c r="D2" s="11"/>
      <c r="E2" s="12"/>
      <c r="F2" s="11"/>
      <c r="G2" s="10"/>
      <c r="H2" s="11"/>
      <c r="I2" s="11"/>
      <c r="J2" s="20"/>
      <c r="L2" s="732" t="s">
        <v>130</v>
      </c>
      <c r="M2" s="733"/>
      <c r="N2" s="734"/>
      <c r="O2" s="88" t="s">
        <v>116</v>
      </c>
    </row>
    <row r="3" spans="1:15" ht="17.100000000000001" customHeight="1" x14ac:dyDescent="0.25">
      <c r="A3" s="1"/>
      <c r="B3" s="7"/>
      <c r="C3" s="731" t="s">
        <v>126</v>
      </c>
      <c r="D3" s="731"/>
      <c r="E3" s="731"/>
      <c r="F3" s="731"/>
      <c r="G3" s="731"/>
      <c r="H3" s="731"/>
      <c r="I3" s="731"/>
      <c r="J3" s="30"/>
      <c r="L3" s="89"/>
      <c r="M3" s="93" t="s">
        <v>11</v>
      </c>
      <c r="N3" s="102"/>
      <c r="O3" s="90">
        <v>0</v>
      </c>
    </row>
    <row r="4" spans="1:15" ht="17.100000000000001" customHeight="1" thickBot="1" x14ac:dyDescent="0.3">
      <c r="A4" s="1"/>
      <c r="B4" s="31"/>
      <c r="C4" s="32"/>
      <c r="D4" s="32"/>
      <c r="E4" s="32"/>
      <c r="F4" s="32"/>
      <c r="G4" s="32"/>
      <c r="H4" s="32"/>
      <c r="I4" s="32"/>
      <c r="J4" s="23"/>
      <c r="L4" s="100">
        <v>5000</v>
      </c>
      <c r="M4" s="95" t="s">
        <v>65</v>
      </c>
      <c r="N4" s="103">
        <v>0</v>
      </c>
      <c r="O4" s="91">
        <v>1</v>
      </c>
    </row>
    <row r="5" spans="1:15" ht="17.100000000000001" customHeight="1" thickBot="1" x14ac:dyDescent="0.3">
      <c r="A5" s="1"/>
      <c r="B5" s="1"/>
      <c r="C5" s="26"/>
      <c r="D5" s="26"/>
      <c r="E5" s="26"/>
      <c r="F5" s="26"/>
      <c r="G5" s="26"/>
      <c r="H5" s="26"/>
      <c r="I5" s="26"/>
      <c r="J5" s="1"/>
      <c r="L5" s="100">
        <v>10000</v>
      </c>
      <c r="M5" s="95" t="s">
        <v>65</v>
      </c>
      <c r="N5" s="103">
        <v>5000</v>
      </c>
      <c r="O5" s="91">
        <v>2</v>
      </c>
    </row>
    <row r="6" spans="1:15" ht="17.100000000000001" customHeight="1" x14ac:dyDescent="0.25">
      <c r="A6" s="1"/>
      <c r="B6" s="6"/>
      <c r="C6" s="10"/>
      <c r="D6" s="11"/>
      <c r="E6" s="12"/>
      <c r="F6" s="11"/>
      <c r="G6" s="10"/>
      <c r="H6" s="11"/>
      <c r="I6" s="11"/>
      <c r="J6" s="20"/>
      <c r="L6" s="100">
        <v>15000</v>
      </c>
      <c r="M6" s="95" t="s">
        <v>65</v>
      </c>
      <c r="N6" s="103">
        <v>10000</v>
      </c>
      <c r="O6" s="91">
        <v>3</v>
      </c>
    </row>
    <row r="7" spans="1:15" ht="17.100000000000001" customHeight="1" x14ac:dyDescent="0.25">
      <c r="A7" s="2"/>
      <c r="B7" s="8"/>
      <c r="C7" s="34" t="s">
        <v>7</v>
      </c>
      <c r="D7" s="34"/>
      <c r="E7" s="35"/>
      <c r="F7" s="35"/>
      <c r="G7" s="35"/>
      <c r="H7" s="35"/>
      <c r="I7" s="36"/>
      <c r="J7" s="22"/>
      <c r="L7" s="100">
        <v>20000</v>
      </c>
      <c r="M7" s="95" t="s">
        <v>65</v>
      </c>
      <c r="N7" s="103">
        <v>15000</v>
      </c>
      <c r="O7" s="91">
        <v>4</v>
      </c>
    </row>
    <row r="8" spans="1:15" ht="17.100000000000001" customHeight="1" thickBot="1" x14ac:dyDescent="0.3">
      <c r="A8" s="1"/>
      <c r="B8" s="7"/>
      <c r="C8" s="37"/>
      <c r="D8" s="38"/>
      <c r="E8" s="39"/>
      <c r="F8" s="38"/>
      <c r="G8" s="37"/>
      <c r="H8" s="38"/>
      <c r="I8" s="38"/>
      <c r="J8" s="21"/>
      <c r="L8" s="101"/>
      <c r="M8" s="95" t="s">
        <v>66</v>
      </c>
      <c r="N8" s="104">
        <v>20000</v>
      </c>
      <c r="O8" s="92">
        <v>5</v>
      </c>
    </row>
    <row r="9" spans="1:15" ht="33.950000000000003" customHeight="1" thickBot="1" x14ac:dyDescent="0.3">
      <c r="A9" s="1"/>
      <c r="B9" s="7"/>
      <c r="C9" s="3" t="str">
        <f>'Unos podataka'!C9</f>
        <v>Predviđena godišnja proizvodnja (MWh/a)</v>
      </c>
      <c r="D9" s="39" t="s">
        <v>2</v>
      </c>
      <c r="E9" s="3" t="str">
        <f>'Unos podataka'!C38</f>
        <v>Specifična emisija C02 u BiH</v>
      </c>
      <c r="F9" s="39" t="s">
        <v>3</v>
      </c>
      <c r="G9" s="3" t="s">
        <v>129</v>
      </c>
      <c r="H9" s="40"/>
      <c r="I9" s="728" t="str">
        <f>IF(G11="","",VLOOKUP(G11,N4:O8,2))</f>
        <v/>
      </c>
      <c r="J9" s="21"/>
    </row>
    <row r="10" spans="1:15" ht="9.9499999999999993" customHeight="1" thickBot="1" x14ac:dyDescent="0.3">
      <c r="A10" s="1"/>
      <c r="B10" s="7"/>
      <c r="C10" s="39"/>
      <c r="D10" s="40"/>
      <c r="E10" s="39"/>
      <c r="F10" s="40"/>
      <c r="G10" s="39"/>
      <c r="H10" s="40"/>
      <c r="I10" s="729"/>
      <c r="J10" s="21"/>
    </row>
    <row r="11" spans="1:15" ht="20.100000000000001" customHeight="1" thickBot="1" x14ac:dyDescent="0.3">
      <c r="A11" s="1"/>
      <c r="B11" s="7"/>
      <c r="C11" s="97" t="str">
        <f>IF('Unos podataka'!E9="","",'Unos podataka'!E9)</f>
        <v/>
      </c>
      <c r="D11" s="39" t="s">
        <v>2</v>
      </c>
      <c r="E11" s="43">
        <f>'Unos podataka'!E38</f>
        <v>744.6</v>
      </c>
      <c r="F11" s="39" t="s">
        <v>3</v>
      </c>
      <c r="G11" s="74" t="str">
        <f>IF(C11="","",C11*E11/1000)</f>
        <v/>
      </c>
      <c r="H11" s="40"/>
      <c r="I11" s="730"/>
      <c r="J11" s="21"/>
      <c r="L11" s="80"/>
      <c r="M11" s="80"/>
      <c r="N11" s="80"/>
    </row>
    <row r="12" spans="1:15" ht="16.5" thickBot="1" x14ac:dyDescent="0.3">
      <c r="A12" s="1"/>
      <c r="B12" s="31"/>
      <c r="C12" s="41"/>
      <c r="D12" s="19"/>
      <c r="E12" s="42"/>
      <c r="F12" s="19"/>
      <c r="G12" s="19"/>
      <c r="H12" s="19"/>
      <c r="I12" s="19"/>
      <c r="J12" s="23"/>
      <c r="L12" s="80"/>
      <c r="M12" s="80"/>
      <c r="N12" s="80"/>
    </row>
    <row r="13" spans="1:15" ht="18" x14ac:dyDescent="0.25">
      <c r="A13" s="1"/>
      <c r="B13" s="1"/>
      <c r="C13" s="26"/>
      <c r="D13" s="26"/>
      <c r="E13" s="26"/>
      <c r="F13" s="26"/>
      <c r="G13" s="26"/>
      <c r="H13" s="26"/>
      <c r="I13" s="26"/>
      <c r="J13" s="1"/>
      <c r="L13" s="80"/>
      <c r="M13" s="80"/>
      <c r="N13" s="80"/>
    </row>
    <row r="14" spans="1:15" x14ac:dyDescent="0.25">
      <c r="L14" s="80"/>
      <c r="M14" s="80"/>
      <c r="N14" s="80"/>
    </row>
    <row r="15" spans="1:15" ht="23.25" x14ac:dyDescent="0.35">
      <c r="B15" s="86"/>
      <c r="L15" s="80"/>
      <c r="M15" s="80"/>
      <c r="N15" s="80"/>
    </row>
    <row r="16" spans="1:15" x14ac:dyDescent="0.25">
      <c r="L16" s="80"/>
      <c r="M16" s="80"/>
      <c r="N16" s="80"/>
    </row>
    <row r="17" spans="12:14" x14ac:dyDescent="0.25">
      <c r="L17" s="80"/>
      <c r="M17" s="80"/>
      <c r="N17" s="80"/>
    </row>
  </sheetData>
  <mergeCells count="3">
    <mergeCell ref="C3:I3"/>
    <mergeCell ref="I9:I11"/>
    <mergeCell ref="L2:N2"/>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5"/>
  <sheetViews>
    <sheetView showGridLines="0" zoomScaleNormal="100" workbookViewId="0">
      <selection activeCell="O2" sqref="O2"/>
    </sheetView>
  </sheetViews>
  <sheetFormatPr defaultColWidth="11" defaultRowHeight="15.75" outlineLevelCol="1" x14ac:dyDescent="0.25"/>
  <cols>
    <col min="1" max="2" width="3.875" style="5" customWidth="1"/>
    <col min="3" max="3" width="18.125" style="5" customWidth="1"/>
    <col min="4" max="4" width="3.875" style="5" customWidth="1"/>
    <col min="5" max="5" width="19.375" style="5" customWidth="1"/>
    <col min="6" max="6" width="3.875" style="5" customWidth="1"/>
    <col min="7" max="7" width="15.625" style="5" customWidth="1"/>
    <col min="8" max="8" width="3.875" style="5" customWidth="1"/>
    <col min="9" max="9" width="12.625" style="80" bestFit="1" customWidth="1"/>
    <col min="10" max="10" width="3.875" style="80" customWidth="1"/>
    <col min="12" max="12" width="10.875" outlineLevel="1"/>
    <col min="13" max="13" width="15" customWidth="1" outlineLevel="1"/>
    <col min="14" max="15" width="10.875" outlineLevel="1"/>
    <col min="16" max="16" width="3.875" customWidth="1"/>
    <col min="17" max="17" width="24.5" bestFit="1" customWidth="1"/>
    <col min="18" max="18" width="5.625" bestFit="1" customWidth="1"/>
  </cols>
  <sheetData>
    <row r="1" spans="1:15" ht="16.5" thickBot="1" x14ac:dyDescent="0.3">
      <c r="A1" s="1"/>
      <c r="B1" s="1"/>
      <c r="C1" s="24"/>
      <c r="D1" s="1"/>
      <c r="E1" s="25"/>
      <c r="F1" s="1"/>
      <c r="G1" s="24"/>
      <c r="H1" s="1"/>
      <c r="I1" s="1"/>
      <c r="J1" s="1"/>
    </row>
    <row r="2" spans="1:15" ht="16.5" thickBot="1" x14ac:dyDescent="0.3">
      <c r="A2" s="1"/>
      <c r="B2" s="53"/>
      <c r="C2" s="54"/>
      <c r="D2" s="54"/>
      <c r="E2" s="54"/>
      <c r="F2" s="54"/>
      <c r="G2" s="54"/>
      <c r="H2" s="54"/>
      <c r="I2" s="11"/>
      <c r="J2" s="20"/>
      <c r="L2" s="732" t="s">
        <v>125</v>
      </c>
      <c r="M2" s="733"/>
      <c r="N2" s="734"/>
      <c r="O2" s="88" t="s">
        <v>116</v>
      </c>
    </row>
    <row r="3" spans="1:15" x14ac:dyDescent="0.25">
      <c r="A3" s="1"/>
      <c r="B3" s="56"/>
      <c r="C3" s="34" t="s">
        <v>132</v>
      </c>
      <c r="D3" s="34"/>
      <c r="E3" s="34"/>
      <c r="F3" s="34"/>
      <c r="G3" s="34"/>
      <c r="H3" s="34"/>
      <c r="I3" s="34"/>
      <c r="J3" s="30"/>
      <c r="L3" s="105">
        <v>0.1</v>
      </c>
      <c r="M3" s="93" t="s">
        <v>13</v>
      </c>
      <c r="N3" s="94">
        <v>0</v>
      </c>
      <c r="O3" s="90">
        <v>5</v>
      </c>
    </row>
    <row r="4" spans="1:15" ht="18.75" thickBot="1" x14ac:dyDescent="0.3">
      <c r="A4" s="1"/>
      <c r="B4" s="58"/>
      <c r="C4" s="59"/>
      <c r="D4" s="59"/>
      <c r="E4" s="59"/>
      <c r="F4" s="59"/>
      <c r="G4" s="59"/>
      <c r="H4" s="59"/>
      <c r="I4" s="32"/>
      <c r="J4" s="23"/>
      <c r="L4" s="106">
        <v>0.5</v>
      </c>
      <c r="M4" s="95" t="s">
        <v>12</v>
      </c>
      <c r="N4" s="98">
        <v>0.1</v>
      </c>
      <c r="O4" s="91">
        <v>4</v>
      </c>
    </row>
    <row r="5" spans="1:15" ht="18.75" thickBot="1" x14ac:dyDescent="0.3">
      <c r="A5" s="1"/>
      <c r="B5" s="1"/>
      <c r="C5" s="26"/>
      <c r="D5" s="26"/>
      <c r="E5" s="26"/>
      <c r="F5" s="26"/>
      <c r="G5" s="26"/>
      <c r="H5" s="26"/>
      <c r="I5" s="26"/>
      <c r="J5" s="1"/>
      <c r="L5" s="106">
        <v>0.75</v>
      </c>
      <c r="M5" s="95" t="s">
        <v>12</v>
      </c>
      <c r="N5" s="98">
        <v>0.5</v>
      </c>
      <c r="O5" s="91">
        <v>3</v>
      </c>
    </row>
    <row r="6" spans="1:15" x14ac:dyDescent="0.25">
      <c r="A6" s="1"/>
      <c r="B6" s="6"/>
      <c r="C6" s="10"/>
      <c r="D6" s="11"/>
      <c r="E6" s="12"/>
      <c r="F6" s="11"/>
      <c r="G6" s="10"/>
      <c r="H6" s="11"/>
      <c r="I6" s="11"/>
      <c r="J6" s="20"/>
      <c r="L6" s="106">
        <v>1</v>
      </c>
      <c r="M6" s="95" t="s">
        <v>12</v>
      </c>
      <c r="N6" s="98">
        <v>0.75</v>
      </c>
      <c r="O6" s="91">
        <v>2</v>
      </c>
    </row>
    <row r="7" spans="1:15" x14ac:dyDescent="0.25">
      <c r="A7" s="2"/>
      <c r="B7" s="8"/>
      <c r="C7" s="34" t="s">
        <v>7</v>
      </c>
      <c r="D7" s="34"/>
      <c r="E7" s="35"/>
      <c r="F7" s="35"/>
      <c r="G7" s="35"/>
      <c r="H7" s="35"/>
      <c r="I7" s="36"/>
      <c r="J7" s="22"/>
      <c r="L7" s="106">
        <v>1.5</v>
      </c>
      <c r="M7" s="95" t="s">
        <v>12</v>
      </c>
      <c r="N7" s="98">
        <v>1</v>
      </c>
      <c r="O7" s="91">
        <v>1</v>
      </c>
    </row>
    <row r="8" spans="1:15" ht="16.5" thickBot="1" x14ac:dyDescent="0.3">
      <c r="A8" s="1"/>
      <c r="B8" s="7"/>
      <c r="C8" s="37"/>
      <c r="D8" s="38"/>
      <c r="E8" s="39"/>
      <c r="F8" s="38"/>
      <c r="G8" s="37"/>
      <c r="H8" s="38"/>
      <c r="I8" s="38"/>
      <c r="J8" s="21"/>
      <c r="L8" s="107"/>
      <c r="M8" s="96" t="s">
        <v>14</v>
      </c>
      <c r="N8" s="99">
        <v>1.5</v>
      </c>
      <c r="O8" s="92">
        <v>0</v>
      </c>
    </row>
    <row r="9" spans="1:15" ht="33.950000000000003" customHeight="1" thickBot="1" x14ac:dyDescent="0.3">
      <c r="A9" s="1"/>
      <c r="B9" s="7"/>
      <c r="C9" s="3" t="str">
        <f>'Unos podataka'!C23</f>
        <v>Dužina priključka na distributivnu mrežu (km)</v>
      </c>
      <c r="D9" s="39" t="s">
        <v>1</v>
      </c>
      <c r="E9" s="3" t="str">
        <f>'Unos podataka'!C9</f>
        <v>Predviđena godišnja proizvodnja (MWh/a)</v>
      </c>
      <c r="F9" s="39" t="s">
        <v>3</v>
      </c>
      <c r="G9" s="3" t="s">
        <v>133</v>
      </c>
      <c r="H9" s="39"/>
      <c r="I9" s="728" t="str">
        <f>IF(G11="","",VLOOKUP(G11,N3:O8,2))</f>
        <v/>
      </c>
      <c r="J9" s="21"/>
    </row>
    <row r="10" spans="1:15" ht="9.9499999999999993" customHeight="1" thickBot="1" x14ac:dyDescent="0.3">
      <c r="A10" s="1"/>
      <c r="B10" s="7"/>
      <c r="C10" s="39"/>
      <c r="D10" s="40"/>
      <c r="E10" s="39"/>
      <c r="F10" s="40"/>
      <c r="G10" s="39"/>
      <c r="H10" s="40"/>
      <c r="I10" s="729"/>
      <c r="J10" s="21"/>
    </row>
    <row r="11" spans="1:15" ht="20.100000000000001" customHeight="1" thickBot="1" x14ac:dyDescent="0.3">
      <c r="A11" s="1"/>
      <c r="B11" s="7"/>
      <c r="C11" s="44" t="str">
        <f>IF('Unos podataka'!E23="","",'Unos podataka'!E23)</f>
        <v/>
      </c>
      <c r="D11" s="39" t="s">
        <v>1</v>
      </c>
      <c r="E11" s="27" t="str">
        <f>IF('Unos podataka'!E9="","",'Unos podataka'!E9/1000)</f>
        <v/>
      </c>
      <c r="F11" s="39" t="s">
        <v>3</v>
      </c>
      <c r="G11" s="75" t="str">
        <f>IF(OR(C11="",E11=""),"",C11/E11)</f>
        <v/>
      </c>
      <c r="H11" s="39"/>
      <c r="I11" s="730"/>
      <c r="J11" s="21"/>
    </row>
    <row r="12" spans="1:15" ht="16.5" thickBot="1" x14ac:dyDescent="0.3">
      <c r="A12" s="1"/>
      <c r="B12" s="31"/>
      <c r="C12" s="41"/>
      <c r="D12" s="19"/>
      <c r="E12" s="42"/>
      <c r="F12" s="19"/>
      <c r="G12" s="19"/>
      <c r="H12" s="19"/>
      <c r="I12" s="19"/>
      <c r="J12" s="23"/>
      <c r="K12" s="80"/>
      <c r="L12" s="80"/>
      <c r="M12" s="80"/>
      <c r="N12" s="80"/>
    </row>
    <row r="14" spans="1:15" x14ac:dyDescent="0.25">
      <c r="L14" s="52"/>
    </row>
    <row r="15" spans="1:15" ht="23.25" x14ac:dyDescent="0.35">
      <c r="B15" s="86"/>
    </row>
  </sheetData>
  <mergeCells count="2">
    <mergeCell ref="L2:N2"/>
    <mergeCell ref="I9:I1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U69"/>
  <sheetViews>
    <sheetView showGridLines="0" zoomScaleNormal="100" workbookViewId="0">
      <selection activeCell="E19" sqref="E19"/>
    </sheetView>
  </sheetViews>
  <sheetFormatPr defaultColWidth="11" defaultRowHeight="15.75" outlineLevelCol="1" x14ac:dyDescent="0.25"/>
  <cols>
    <col min="1" max="2" width="3.875" customWidth="1"/>
    <col min="3" max="3" width="43.5" customWidth="1"/>
    <col min="4" max="4" width="3.875" customWidth="1"/>
    <col min="5" max="5" width="29" customWidth="1"/>
    <col min="6" max="6" width="3.875" customWidth="1"/>
    <col min="7" max="7" width="11.625" bestFit="1" customWidth="1"/>
    <col min="8" max="8" width="3.625" customWidth="1"/>
    <col min="9" max="9" width="36.875" customWidth="1"/>
    <col min="10" max="10" width="2.875" customWidth="1"/>
    <col min="13" max="13" width="2.125" customWidth="1"/>
    <col min="14" max="14" width="11.625" bestFit="1" customWidth="1"/>
    <col min="15" max="15" width="3.375" customWidth="1"/>
    <col min="19" max="19" width="97.875" bestFit="1" customWidth="1" outlineLevel="1"/>
    <col min="20" max="20" width="6.375" bestFit="1" customWidth="1" outlineLevel="1"/>
    <col min="21" max="21" width="5.5" bestFit="1" customWidth="1" outlineLevel="1"/>
  </cols>
  <sheetData>
    <row r="1" spans="1:21" ht="16.5" thickBot="1" x14ac:dyDescent="0.3">
      <c r="A1" s="1"/>
      <c r="B1" s="1"/>
      <c r="C1" s="1"/>
      <c r="D1" s="1"/>
      <c r="E1" s="1"/>
      <c r="F1" s="1"/>
    </row>
    <row r="2" spans="1:21" x14ac:dyDescent="0.25">
      <c r="A2" s="1"/>
      <c r="B2" s="6"/>
      <c r="C2" s="10"/>
      <c r="D2" s="11"/>
      <c r="E2" s="12"/>
      <c r="F2" s="20"/>
      <c r="K2" s="143"/>
      <c r="L2" s="143"/>
      <c r="M2" s="143"/>
      <c r="N2" s="143"/>
    </row>
    <row r="3" spans="1:21" ht="18.75" x14ac:dyDescent="0.3">
      <c r="A3" s="1"/>
      <c r="B3" s="7"/>
      <c r="C3" s="33" t="s">
        <v>223</v>
      </c>
      <c r="D3" s="33"/>
      <c r="E3" s="33"/>
      <c r="F3" s="30"/>
      <c r="K3" s="143"/>
      <c r="L3" s="143"/>
      <c r="M3" s="143"/>
      <c r="N3" s="143"/>
      <c r="S3" s="161" t="s">
        <v>145</v>
      </c>
      <c r="T3" s="162"/>
      <c r="U3" s="162"/>
    </row>
    <row r="4" spans="1:21" ht="18.75" thickBot="1" x14ac:dyDescent="0.3">
      <c r="A4" s="1"/>
      <c r="B4" s="31"/>
      <c r="C4" s="32"/>
      <c r="D4" s="32"/>
      <c r="E4" s="32"/>
      <c r="F4" s="23"/>
      <c r="K4" s="143"/>
      <c r="L4" s="143"/>
      <c r="M4" s="143"/>
      <c r="N4" s="143"/>
    </row>
    <row r="5" spans="1:21" ht="18.75" thickBot="1" x14ac:dyDescent="0.3">
      <c r="A5" s="1"/>
      <c r="B5" s="1"/>
      <c r="C5" s="26"/>
      <c r="D5" s="26"/>
      <c r="E5" s="26"/>
      <c r="F5" s="26"/>
      <c r="K5" s="143"/>
      <c r="L5" s="143"/>
      <c r="M5" s="143"/>
      <c r="N5" s="143"/>
      <c r="S5" s="153" t="s">
        <v>146</v>
      </c>
      <c r="T5" s="154"/>
      <c r="U5" s="155"/>
    </row>
    <row r="6" spans="1:21" ht="17.100000000000001" customHeight="1" thickBot="1" x14ac:dyDescent="0.3">
      <c r="A6" s="1"/>
      <c r="B6" s="6"/>
      <c r="C6" s="10"/>
      <c r="D6" s="10"/>
      <c r="E6" s="11"/>
      <c r="F6" s="64"/>
      <c r="H6" s="163"/>
      <c r="I6" s="164"/>
      <c r="J6" s="164"/>
      <c r="K6" s="165"/>
      <c r="L6" s="165"/>
      <c r="M6" s="165"/>
      <c r="N6" s="165"/>
      <c r="O6" s="166"/>
      <c r="S6" s="160" t="s">
        <v>30</v>
      </c>
      <c r="T6" s="156"/>
      <c r="U6" s="157" t="s">
        <v>159</v>
      </c>
    </row>
    <row r="7" spans="1:21" ht="17.100000000000001" customHeight="1" x14ac:dyDescent="0.25">
      <c r="A7" s="1"/>
      <c r="B7" s="7"/>
      <c r="C7" s="33" t="s">
        <v>135</v>
      </c>
      <c r="D7" s="65"/>
      <c r="E7" s="65"/>
      <c r="F7" s="66"/>
      <c r="H7" s="69"/>
      <c r="I7" s="33" t="s">
        <v>165</v>
      </c>
      <c r="J7" s="71"/>
      <c r="K7" s="167"/>
      <c r="L7" s="167"/>
      <c r="M7" s="167"/>
      <c r="N7" s="167"/>
      <c r="O7" s="72"/>
      <c r="S7" s="149" t="s">
        <v>31</v>
      </c>
      <c r="T7" s="147">
        <v>-1</v>
      </c>
      <c r="U7" s="158">
        <v>-2</v>
      </c>
    </row>
    <row r="8" spans="1:21" ht="17.100000000000001" customHeight="1" thickBot="1" x14ac:dyDescent="0.3">
      <c r="A8" s="1"/>
      <c r="B8" s="7"/>
      <c r="C8" s="67"/>
      <c r="D8" s="67"/>
      <c r="E8" s="67"/>
      <c r="F8" s="21"/>
      <c r="H8" s="69"/>
      <c r="I8" s="71"/>
      <c r="J8" s="71"/>
      <c r="K8" s="167"/>
      <c r="L8" s="167"/>
      <c r="M8" s="167"/>
      <c r="N8" s="167"/>
      <c r="O8" s="72"/>
      <c r="S8" s="150" t="s">
        <v>150</v>
      </c>
      <c r="T8" s="147">
        <v>-0.1</v>
      </c>
      <c r="U8" s="159">
        <v>-1</v>
      </c>
    </row>
    <row r="9" spans="1:21" ht="33.950000000000003" customHeight="1" thickBot="1" x14ac:dyDescent="0.3">
      <c r="A9" s="2"/>
      <c r="B9" s="8"/>
      <c r="C9" s="4" t="s">
        <v>136</v>
      </c>
      <c r="D9" s="14"/>
      <c r="E9" s="620"/>
      <c r="F9" s="21"/>
      <c r="H9" s="69"/>
      <c r="I9" s="4" t="s">
        <v>140</v>
      </c>
      <c r="J9" s="614">
        <f>IF(K9="",0,1)</f>
        <v>0</v>
      </c>
      <c r="K9" s="178" t="str">
        <f>I27</f>
        <v/>
      </c>
      <c r="L9" s="167"/>
      <c r="M9" s="167"/>
      <c r="N9" s="167"/>
      <c r="O9" s="72"/>
      <c r="S9" s="150" t="s">
        <v>149</v>
      </c>
      <c r="T9" s="147">
        <v>-0.05</v>
      </c>
      <c r="U9" s="159">
        <v>0</v>
      </c>
    </row>
    <row r="10" spans="1:21" ht="11.1" customHeight="1" thickBot="1" x14ac:dyDescent="0.35">
      <c r="A10" s="1"/>
      <c r="B10" s="7"/>
      <c r="C10" s="68"/>
      <c r="D10" s="14"/>
      <c r="E10" s="15"/>
      <c r="F10" s="21"/>
      <c r="H10" s="69"/>
      <c r="I10" s="172"/>
      <c r="J10" s="614"/>
      <c r="K10" s="173"/>
      <c r="L10" s="71"/>
      <c r="M10" s="71"/>
      <c r="N10" s="71"/>
      <c r="O10" s="72"/>
      <c r="S10" s="151" t="s">
        <v>148</v>
      </c>
      <c r="T10" s="147">
        <v>0</v>
      </c>
      <c r="U10" s="159">
        <v>0</v>
      </c>
    </row>
    <row r="11" spans="1:21" ht="33.950000000000003" customHeight="1" thickBot="1" x14ac:dyDescent="0.3">
      <c r="A11" s="1"/>
      <c r="B11" s="7"/>
      <c r="C11" s="4" t="s">
        <v>166</v>
      </c>
      <c r="D11" s="38"/>
      <c r="E11" s="700" t="s">
        <v>118</v>
      </c>
      <c r="F11" s="21"/>
      <c r="H11" s="69"/>
      <c r="I11" s="4" t="s">
        <v>141</v>
      </c>
      <c r="J11" s="614">
        <f>IF(K11="",0,1)</f>
        <v>0</v>
      </c>
      <c r="K11" s="178" t="str">
        <f>I35</f>
        <v/>
      </c>
      <c r="L11" s="71"/>
      <c r="M11" s="71"/>
      <c r="N11" s="71"/>
      <c r="O11" s="72"/>
      <c r="S11" s="150" t="s">
        <v>147</v>
      </c>
      <c r="T11" s="147">
        <v>0.05</v>
      </c>
      <c r="U11" s="159">
        <v>1</v>
      </c>
    </row>
    <row r="12" spans="1:21" ht="9.9499999999999993" customHeight="1" thickBot="1" x14ac:dyDescent="0.35">
      <c r="A12" s="1"/>
      <c r="B12" s="7"/>
      <c r="C12" s="39"/>
      <c r="D12" s="38"/>
      <c r="E12" s="38"/>
      <c r="F12" s="21"/>
      <c r="H12" s="69"/>
      <c r="I12" s="172"/>
      <c r="J12" s="614"/>
      <c r="K12" s="173"/>
      <c r="L12" s="71"/>
      <c r="M12" s="71"/>
      <c r="N12" s="71"/>
      <c r="O12" s="72"/>
      <c r="S12" s="152" t="s">
        <v>151</v>
      </c>
      <c r="T12" s="148">
        <v>0.1</v>
      </c>
      <c r="U12" s="144">
        <v>2</v>
      </c>
    </row>
    <row r="13" spans="1:21" ht="33.950000000000003" customHeight="1" thickBot="1" x14ac:dyDescent="0.3">
      <c r="A13" s="1"/>
      <c r="B13" s="7"/>
      <c r="C13" s="4" t="s">
        <v>167</v>
      </c>
      <c r="D13" s="38"/>
      <c r="E13" s="625" t="s">
        <v>118</v>
      </c>
      <c r="F13" s="21"/>
      <c r="H13" s="69"/>
      <c r="I13" s="4" t="s">
        <v>142</v>
      </c>
      <c r="J13" s="614">
        <f>IF(K13="",0,1)</f>
        <v>0</v>
      </c>
      <c r="K13" s="178" t="str">
        <f>I41</f>
        <v/>
      </c>
      <c r="L13" s="71"/>
      <c r="M13" s="71"/>
      <c r="N13" s="171" t="s">
        <v>160</v>
      </c>
      <c r="O13" s="72"/>
    </row>
    <row r="14" spans="1:21" ht="9.9499999999999993" customHeight="1" thickBot="1" x14ac:dyDescent="0.35">
      <c r="A14" s="1"/>
      <c r="B14" s="7"/>
      <c r="C14" s="38"/>
      <c r="D14" s="38"/>
      <c r="E14" s="38"/>
      <c r="F14" s="21"/>
      <c r="H14" s="69"/>
      <c r="I14" s="172"/>
      <c r="J14" s="614"/>
      <c r="K14" s="173"/>
      <c r="L14" s="71"/>
      <c r="M14" s="71"/>
      <c r="N14" s="728" t="str">
        <f>IF(SUM(J9:J21)&lt;&gt;7,"",IF(SUM(K9:K21)&gt;5,5,IF(SUM(K9:K21)&lt;0,0,SUM(K9:K21))))</f>
        <v/>
      </c>
      <c r="O14" s="72"/>
    </row>
    <row r="15" spans="1:21" ht="33.950000000000003" customHeight="1" thickBot="1" x14ac:dyDescent="0.3">
      <c r="A15" s="1"/>
      <c r="B15" s="7"/>
      <c r="C15" s="4" t="s">
        <v>137</v>
      </c>
      <c r="D15" s="38"/>
      <c r="E15" s="625" t="s">
        <v>118</v>
      </c>
      <c r="F15" s="21"/>
      <c r="H15" s="69"/>
      <c r="I15" s="4" t="s">
        <v>143</v>
      </c>
      <c r="J15" s="614">
        <f>IF(K15="",0,1)</f>
        <v>0</v>
      </c>
      <c r="K15" s="178" t="str">
        <f>I47</f>
        <v/>
      </c>
      <c r="L15" s="71"/>
      <c r="M15" s="71"/>
      <c r="N15" s="729"/>
      <c r="O15" s="72"/>
      <c r="S15" s="153" t="s">
        <v>152</v>
      </c>
      <c r="T15" s="155"/>
    </row>
    <row r="16" spans="1:21" ht="9.9499999999999993" customHeight="1" thickBot="1" x14ac:dyDescent="0.35">
      <c r="A16" s="1"/>
      <c r="B16" s="7"/>
      <c r="C16" s="38"/>
      <c r="D16" s="38"/>
      <c r="E16" s="38"/>
      <c r="F16" s="21"/>
      <c r="H16" s="69"/>
      <c r="I16" s="172"/>
      <c r="J16" s="614"/>
      <c r="K16" s="173"/>
      <c r="L16" s="71"/>
      <c r="M16" s="71"/>
      <c r="N16" s="730"/>
      <c r="O16" s="72"/>
      <c r="S16" s="520" t="s">
        <v>116</v>
      </c>
      <c r="T16" s="522" t="s">
        <v>159</v>
      </c>
    </row>
    <row r="17" spans="1:21" ht="33.950000000000003" customHeight="1" thickBot="1" x14ac:dyDescent="0.3">
      <c r="A17" s="2"/>
      <c r="B17" s="7"/>
      <c r="C17" s="4" t="s">
        <v>138</v>
      </c>
      <c r="D17" s="38"/>
      <c r="E17" s="625" t="s">
        <v>118</v>
      </c>
      <c r="F17" s="21"/>
      <c r="H17" s="69"/>
      <c r="I17" s="4" t="s">
        <v>144</v>
      </c>
      <c r="J17" s="614">
        <f>IF(K17="",0,1)</f>
        <v>0</v>
      </c>
      <c r="K17" s="178" t="str">
        <f>I53</f>
        <v/>
      </c>
      <c r="L17" s="71"/>
      <c r="M17" s="71"/>
      <c r="N17" s="71"/>
      <c r="O17" s="72"/>
      <c r="S17" s="513" t="s">
        <v>134</v>
      </c>
      <c r="T17" s="514">
        <v>0</v>
      </c>
    </row>
    <row r="18" spans="1:21" ht="9.9499999999999993" customHeight="1" thickBot="1" x14ac:dyDescent="0.35">
      <c r="A18" s="1"/>
      <c r="B18" s="7"/>
      <c r="C18" s="38"/>
      <c r="D18" s="38"/>
      <c r="E18" s="38"/>
      <c r="F18" s="21"/>
      <c r="H18" s="69"/>
      <c r="I18" s="172"/>
      <c r="J18" s="614"/>
      <c r="K18" s="173"/>
      <c r="L18" s="71"/>
      <c r="M18" s="71"/>
      <c r="N18" s="71"/>
      <c r="O18" s="72"/>
      <c r="S18" s="150" t="s">
        <v>153</v>
      </c>
      <c r="T18" s="515">
        <v>1</v>
      </c>
    </row>
    <row r="19" spans="1:21" ht="33.950000000000003" customHeight="1" thickBot="1" x14ac:dyDescent="0.3">
      <c r="A19" s="2"/>
      <c r="B19" s="7"/>
      <c r="C19" s="4" t="s">
        <v>139</v>
      </c>
      <c r="D19" s="38"/>
      <c r="E19" s="621"/>
      <c r="F19" s="21"/>
      <c r="H19" s="69"/>
      <c r="I19" s="4" t="s">
        <v>139</v>
      </c>
      <c r="J19" s="614">
        <f>IF(K19="",0,1)</f>
        <v>0</v>
      </c>
      <c r="K19" s="178" t="str">
        <f>I61</f>
        <v/>
      </c>
      <c r="L19" s="71"/>
      <c r="M19" s="71"/>
      <c r="N19" s="71"/>
      <c r="O19" s="72"/>
      <c r="S19" s="152" t="s">
        <v>154</v>
      </c>
      <c r="T19" s="516">
        <v>2</v>
      </c>
    </row>
    <row r="20" spans="1:21" ht="9.9499999999999993" customHeight="1" thickBot="1" x14ac:dyDescent="0.35">
      <c r="A20" s="1"/>
      <c r="B20" s="7"/>
      <c r="C20" s="38"/>
      <c r="D20" s="38"/>
      <c r="E20" s="38"/>
      <c r="F20" s="21"/>
      <c r="H20" s="69"/>
      <c r="I20" s="172"/>
      <c r="J20" s="614"/>
      <c r="K20" s="173"/>
      <c r="L20" s="71"/>
      <c r="M20" s="71"/>
      <c r="N20" s="71"/>
      <c r="O20" s="72"/>
      <c r="S20" s="699" t="s">
        <v>118</v>
      </c>
      <c r="T20" s="616"/>
    </row>
    <row r="21" spans="1:21" ht="33.950000000000003" customHeight="1" thickBot="1" x14ac:dyDescent="0.3">
      <c r="A21" s="2"/>
      <c r="B21" s="7"/>
      <c r="C21" s="4" t="s">
        <v>175</v>
      </c>
      <c r="D21" s="38"/>
      <c r="E21" s="626"/>
      <c r="F21" s="21"/>
      <c r="H21" s="69"/>
      <c r="I21" s="4" t="s">
        <v>158</v>
      </c>
      <c r="J21" s="614">
        <f>IF(K21="",0,1)</f>
        <v>0</v>
      </c>
      <c r="K21" s="178" t="str">
        <f>I67</f>
        <v/>
      </c>
      <c r="L21" s="71"/>
      <c r="M21" s="71"/>
      <c r="N21" s="174" t="s">
        <v>32</v>
      </c>
      <c r="O21" s="72"/>
    </row>
    <row r="22" spans="1:21" ht="16.5" thickBot="1" x14ac:dyDescent="0.3">
      <c r="A22" s="1"/>
      <c r="B22" s="31"/>
      <c r="C22" s="18"/>
      <c r="D22" s="18"/>
      <c r="E22" s="18"/>
      <c r="F22" s="23"/>
      <c r="H22" s="168"/>
      <c r="I22" s="169"/>
      <c r="J22" s="169"/>
      <c r="K22" s="169"/>
      <c r="L22" s="169"/>
      <c r="M22" s="169"/>
      <c r="N22" s="169"/>
      <c r="O22" s="170"/>
      <c r="S22" s="153" t="s">
        <v>155</v>
      </c>
      <c r="T22" s="155"/>
    </row>
    <row r="23" spans="1:21" ht="16.5" thickBot="1" x14ac:dyDescent="0.3">
      <c r="A23" s="1"/>
      <c r="B23" s="1"/>
      <c r="C23" s="24"/>
      <c r="D23" s="24"/>
      <c r="E23" s="1"/>
      <c r="F23" s="25"/>
      <c r="S23" s="160" t="s">
        <v>116</v>
      </c>
      <c r="T23" s="157" t="s">
        <v>159</v>
      </c>
    </row>
    <row r="24" spans="1:21" x14ac:dyDescent="0.25">
      <c r="A24" s="1"/>
      <c r="B24" s="6"/>
      <c r="C24" s="10"/>
      <c r="D24" s="11"/>
      <c r="E24" s="12"/>
      <c r="F24" s="11"/>
      <c r="G24" s="10"/>
      <c r="H24" s="11"/>
      <c r="I24" s="11"/>
      <c r="J24" s="20"/>
      <c r="S24" s="150" t="s">
        <v>120</v>
      </c>
      <c r="T24" s="158">
        <v>0</v>
      </c>
    </row>
    <row r="25" spans="1:21" ht="16.5" thickBot="1" x14ac:dyDescent="0.3">
      <c r="A25" s="2"/>
      <c r="B25" s="8"/>
      <c r="C25" s="34" t="s">
        <v>164</v>
      </c>
      <c r="D25" s="34"/>
      <c r="E25" s="35"/>
      <c r="F25" s="35"/>
      <c r="G25" s="35"/>
      <c r="H25" s="35"/>
      <c r="I25" s="36"/>
      <c r="J25" s="22"/>
      <c r="S25" s="150" t="s">
        <v>119</v>
      </c>
      <c r="T25" s="158">
        <v>1</v>
      </c>
    </row>
    <row r="26" spans="1:21" ht="17.100000000000001" customHeight="1" thickBot="1" x14ac:dyDescent="0.3">
      <c r="A26" s="1"/>
      <c r="B26" s="7"/>
      <c r="C26" s="37"/>
      <c r="D26" s="38"/>
      <c r="E26" s="39"/>
      <c r="F26" s="38"/>
      <c r="G26" s="37"/>
      <c r="H26" s="38"/>
      <c r="I26" s="38"/>
      <c r="J26" s="21"/>
      <c r="S26" s="615" t="s">
        <v>118</v>
      </c>
      <c r="T26" s="616"/>
    </row>
    <row r="27" spans="1:21" ht="26.25" thickBot="1" x14ac:dyDescent="0.3">
      <c r="A27" s="1"/>
      <c r="B27" s="7"/>
      <c r="C27" s="3" t="s">
        <v>136</v>
      </c>
      <c r="D27" s="39" t="s">
        <v>1</v>
      </c>
      <c r="E27" s="3" t="str">
        <f>'Unos podataka'!C9</f>
        <v>Predviđena godišnja proizvodnja (MWh/a)</v>
      </c>
      <c r="F27" s="39" t="s">
        <v>3</v>
      </c>
      <c r="G27" s="3" t="s">
        <v>222</v>
      </c>
      <c r="H27" s="40"/>
      <c r="I27" s="738" t="str">
        <f>IF(G29="","",VLOOKUP(G29,'E4 - Dodatni efekti'!T7:U12,2))</f>
        <v/>
      </c>
      <c r="J27" s="21"/>
    </row>
    <row r="28" spans="1:21" ht="9.9499999999999993" customHeight="1" thickBot="1" x14ac:dyDescent="0.3">
      <c r="A28" s="1"/>
      <c r="B28" s="7"/>
      <c r="C28" s="39"/>
      <c r="D28" s="40"/>
      <c r="E28" s="39"/>
      <c r="F28" s="40"/>
      <c r="G28" s="39"/>
      <c r="H28" s="40"/>
      <c r="I28" s="739"/>
      <c r="J28" s="21"/>
      <c r="S28" s="153" t="s">
        <v>139</v>
      </c>
      <c r="T28" s="154"/>
      <c r="U28" s="155"/>
    </row>
    <row r="29" spans="1:21" ht="16.5" thickBot="1" x14ac:dyDescent="0.3">
      <c r="A29" s="1"/>
      <c r="B29" s="7"/>
      <c r="C29" s="97" t="str">
        <f>IF(E9="","",E9)</f>
        <v/>
      </c>
      <c r="D29" s="39" t="s">
        <v>1</v>
      </c>
      <c r="E29" s="97" t="str">
        <f>IF('Unos podataka'!E9="","",'Unos podataka'!E9)</f>
        <v/>
      </c>
      <c r="F29" s="39" t="s">
        <v>3</v>
      </c>
      <c r="G29" s="179" t="str">
        <f>IF(OR(C29="",E29=""),"",C29/E29)</f>
        <v/>
      </c>
      <c r="H29" s="40"/>
      <c r="I29" s="740"/>
      <c r="J29" s="21"/>
      <c r="S29" s="160" t="s">
        <v>116</v>
      </c>
      <c r="T29" s="156"/>
      <c r="U29" s="157" t="s">
        <v>159</v>
      </c>
    </row>
    <row r="30" spans="1:21" ht="11.1" customHeight="1" thickBot="1" x14ac:dyDescent="0.3">
      <c r="A30" s="1"/>
      <c r="B30" s="31"/>
      <c r="C30" s="41"/>
      <c r="D30" s="19"/>
      <c r="E30" s="42"/>
      <c r="F30" s="19"/>
      <c r="G30" s="19"/>
      <c r="H30" s="19"/>
      <c r="I30" s="19"/>
      <c r="J30" s="23"/>
      <c r="S30" s="513" t="s">
        <v>31</v>
      </c>
      <c r="T30" s="517">
        <v>0</v>
      </c>
      <c r="U30" s="514">
        <v>0</v>
      </c>
    </row>
    <row r="31" spans="1:21" ht="16.5" thickBot="1" x14ac:dyDescent="0.3">
      <c r="A31" s="1"/>
      <c r="S31" s="150" t="s">
        <v>156</v>
      </c>
      <c r="T31" s="518">
        <v>0.05</v>
      </c>
      <c r="U31" s="159">
        <v>1</v>
      </c>
    </row>
    <row r="32" spans="1:21" ht="11.1" customHeight="1" thickBot="1" x14ac:dyDescent="0.3">
      <c r="A32" s="1"/>
      <c r="B32" s="6"/>
      <c r="C32" s="10"/>
      <c r="D32" s="11"/>
      <c r="E32" s="12"/>
      <c r="F32" s="11"/>
      <c r="G32" s="10"/>
      <c r="H32" s="11"/>
      <c r="I32" s="11"/>
      <c r="J32" s="20"/>
      <c r="S32" s="152" t="s">
        <v>157</v>
      </c>
      <c r="T32" s="519">
        <v>0.15</v>
      </c>
      <c r="U32" s="144">
        <v>2</v>
      </c>
    </row>
    <row r="33" spans="1:21" x14ac:dyDescent="0.25">
      <c r="A33" s="2"/>
      <c r="B33" s="8"/>
      <c r="C33" s="34" t="s">
        <v>168</v>
      </c>
      <c r="D33" s="34"/>
      <c r="E33" s="35"/>
      <c r="F33" s="35"/>
      <c r="G33" s="35"/>
      <c r="H33" s="35"/>
      <c r="I33" s="36"/>
      <c r="J33" s="22"/>
    </row>
    <row r="34" spans="1:21" ht="11.1" customHeight="1" thickBot="1" x14ac:dyDescent="0.3">
      <c r="A34" s="1"/>
      <c r="B34" s="7"/>
      <c r="C34" s="37"/>
      <c r="D34" s="38"/>
      <c r="E34" s="39"/>
      <c r="F34" s="38"/>
      <c r="G34" s="37"/>
      <c r="H34" s="38"/>
      <c r="I34" s="38"/>
      <c r="J34" s="21"/>
    </row>
    <row r="35" spans="1:21" ht="42.95" customHeight="1" thickBot="1" x14ac:dyDescent="0.3">
      <c r="A35" s="1"/>
      <c r="B35" s="7"/>
      <c r="C35" s="735" t="str">
        <f>IF(E11=S20,"",E11)</f>
        <v/>
      </c>
      <c r="D35" s="736"/>
      <c r="E35" s="736"/>
      <c r="F35" s="736"/>
      <c r="G35" s="737"/>
      <c r="H35" s="40"/>
      <c r="I35" s="180" t="str">
        <f>IF(C35="","",IF(C35='E4 - Dodatni efekti'!S17,'E4 - Dodatni efekti'!T17,IF('E4 - Dodatni efekti'!C35='E4 - Dodatni efekti'!S18,'E4 - Dodatni efekti'!T18,2)))</f>
        <v/>
      </c>
      <c r="J35" s="21"/>
      <c r="S35" s="153" t="s">
        <v>158</v>
      </c>
      <c r="T35" s="154"/>
      <c r="U35" s="155"/>
    </row>
    <row r="36" spans="1:21" ht="11.1" customHeight="1" thickBot="1" x14ac:dyDescent="0.3">
      <c r="A36" s="1"/>
      <c r="B36" s="31"/>
      <c r="C36" s="41"/>
      <c r="D36" s="19"/>
      <c r="E36" s="42"/>
      <c r="F36" s="19"/>
      <c r="G36" s="19"/>
      <c r="H36" s="19"/>
      <c r="I36" s="19"/>
      <c r="J36" s="23"/>
      <c r="S36" s="520" t="s">
        <v>116</v>
      </c>
      <c r="T36" s="521"/>
      <c r="U36" s="522" t="s">
        <v>159</v>
      </c>
    </row>
    <row r="37" spans="1:21" ht="16.5" thickBot="1" x14ac:dyDescent="0.3">
      <c r="A37" s="1"/>
      <c r="S37" s="150" t="s">
        <v>162</v>
      </c>
      <c r="T37" s="517">
        <v>0</v>
      </c>
      <c r="U37" s="514">
        <v>0</v>
      </c>
    </row>
    <row r="38" spans="1:21" ht="11.1" customHeight="1" x14ac:dyDescent="0.25">
      <c r="A38" s="1"/>
      <c r="B38" s="6"/>
      <c r="C38" s="10"/>
      <c r="D38" s="11"/>
      <c r="E38" s="12"/>
      <c r="F38" s="11"/>
      <c r="G38" s="10"/>
      <c r="H38" s="11"/>
      <c r="I38" s="11"/>
      <c r="J38" s="20"/>
      <c r="S38" s="150" t="s">
        <v>161</v>
      </c>
      <c r="T38" s="518">
        <v>0.1</v>
      </c>
      <c r="U38" s="159">
        <v>1</v>
      </c>
    </row>
    <row r="39" spans="1:21" ht="16.5" thickBot="1" x14ac:dyDescent="0.3">
      <c r="A39" s="2"/>
      <c r="B39" s="8"/>
      <c r="C39" s="34" t="s">
        <v>169</v>
      </c>
      <c r="D39" s="34"/>
      <c r="E39" s="35"/>
      <c r="F39" s="35"/>
      <c r="G39" s="35"/>
      <c r="H39" s="35"/>
      <c r="I39" s="36"/>
      <c r="J39" s="22"/>
      <c r="S39" s="152" t="s">
        <v>163</v>
      </c>
      <c r="T39" s="519">
        <v>0.5</v>
      </c>
      <c r="U39" s="144">
        <v>2</v>
      </c>
    </row>
    <row r="40" spans="1:21" ht="11.1" customHeight="1" thickBot="1" x14ac:dyDescent="0.3">
      <c r="A40" s="1"/>
      <c r="B40" s="7"/>
      <c r="C40" s="37"/>
      <c r="D40" s="38"/>
      <c r="E40" s="39"/>
      <c r="F40" s="38"/>
      <c r="G40" s="37"/>
      <c r="H40" s="38"/>
      <c r="I40" s="38"/>
      <c r="J40" s="21"/>
    </row>
    <row r="41" spans="1:21" ht="42.95" customHeight="1" thickBot="1" x14ac:dyDescent="0.3">
      <c r="A41" s="1"/>
      <c r="B41" s="7"/>
      <c r="C41" s="735" t="str">
        <f>IF(E13=S26,"",E13)</f>
        <v/>
      </c>
      <c r="D41" s="736"/>
      <c r="E41" s="736"/>
      <c r="F41" s="736"/>
      <c r="G41" s="737"/>
      <c r="H41" s="40"/>
      <c r="I41" s="180" t="str">
        <f>IF(C41="","",IF(C41='E4 - Dodatni efekti'!S24,'E4 - Dodatni efekti'!T24,'E4 - Dodatni efekti'!T25))</f>
        <v/>
      </c>
      <c r="J41" s="21"/>
    </row>
    <row r="42" spans="1:21" ht="11.1" customHeight="1" thickBot="1" x14ac:dyDescent="0.3">
      <c r="A42" s="1"/>
      <c r="B42" s="31"/>
      <c r="C42" s="41"/>
      <c r="D42" s="19"/>
      <c r="E42" s="42"/>
      <c r="F42" s="19"/>
      <c r="G42" s="19"/>
      <c r="H42" s="19"/>
      <c r="I42" s="19"/>
      <c r="J42" s="23"/>
    </row>
    <row r="43" spans="1:21" ht="16.5" thickBot="1" x14ac:dyDescent="0.3">
      <c r="A43" s="1"/>
    </row>
    <row r="44" spans="1:21" ht="11.1" customHeight="1" x14ac:dyDescent="0.25">
      <c r="A44" s="1"/>
      <c r="B44" s="6"/>
      <c r="C44" s="10"/>
      <c r="D44" s="11"/>
      <c r="E44" s="12"/>
      <c r="F44" s="11"/>
      <c r="G44" s="10"/>
      <c r="H44" s="11"/>
      <c r="I44" s="11"/>
      <c r="J44" s="20"/>
    </row>
    <row r="45" spans="1:21" x14ac:dyDescent="0.25">
      <c r="A45" s="2"/>
      <c r="B45" s="8"/>
      <c r="C45" s="34" t="s">
        <v>170</v>
      </c>
      <c r="D45" s="34"/>
      <c r="E45" s="35"/>
      <c r="F45" s="35"/>
      <c r="G45" s="35"/>
      <c r="H45" s="35"/>
      <c r="I45" s="36"/>
      <c r="J45" s="22"/>
    </row>
    <row r="46" spans="1:21" ht="11.1" customHeight="1" thickBot="1" x14ac:dyDescent="0.3">
      <c r="A46" s="1"/>
      <c r="B46" s="7"/>
      <c r="C46" s="37"/>
      <c r="D46" s="38"/>
      <c r="E46" s="39"/>
      <c r="F46" s="38"/>
      <c r="G46" s="37"/>
      <c r="H46" s="38"/>
      <c r="I46" s="38"/>
      <c r="J46" s="21"/>
    </row>
    <row r="47" spans="1:21" ht="42.95" customHeight="1" thickBot="1" x14ac:dyDescent="0.3">
      <c r="A47" s="1"/>
      <c r="B47" s="7"/>
      <c r="C47" s="735" t="str">
        <f>IF(E15=S26,"",E15)</f>
        <v/>
      </c>
      <c r="D47" s="736"/>
      <c r="E47" s="736"/>
      <c r="F47" s="736"/>
      <c r="G47" s="737"/>
      <c r="H47" s="40"/>
      <c r="I47" s="180" t="str">
        <f>IF(C47="","",IF(C47='E4 - Dodatni efekti'!S24,'E4 - Dodatni efekti'!T24,'E4 - Dodatni efekti'!T25))</f>
        <v/>
      </c>
      <c r="J47" s="21"/>
    </row>
    <row r="48" spans="1:21" ht="11.1" customHeight="1" thickBot="1" x14ac:dyDescent="0.3">
      <c r="A48" s="1"/>
      <c r="B48" s="31"/>
      <c r="C48" s="41"/>
      <c r="D48" s="19"/>
      <c r="E48" s="42"/>
      <c r="F48" s="19"/>
      <c r="G48" s="19"/>
      <c r="H48" s="19"/>
      <c r="I48" s="19"/>
      <c r="J48" s="23"/>
    </row>
    <row r="49" spans="1:10" ht="16.5" thickBot="1" x14ac:dyDescent="0.3">
      <c r="A49" s="1"/>
    </row>
    <row r="50" spans="1:10" ht="11.1" customHeight="1" x14ac:dyDescent="0.25">
      <c r="A50" s="1"/>
      <c r="B50" s="6"/>
      <c r="C50" s="10"/>
      <c r="D50" s="11"/>
      <c r="E50" s="12"/>
      <c r="F50" s="11"/>
      <c r="G50" s="10"/>
      <c r="H50" s="11"/>
      <c r="I50" s="11"/>
      <c r="J50" s="20"/>
    </row>
    <row r="51" spans="1:10" x14ac:dyDescent="0.25">
      <c r="A51" s="2"/>
      <c r="B51" s="8"/>
      <c r="C51" s="34" t="s">
        <v>171</v>
      </c>
      <c r="D51" s="34"/>
      <c r="E51" s="35"/>
      <c r="F51" s="35"/>
      <c r="G51" s="35"/>
      <c r="H51" s="35"/>
      <c r="I51" s="36"/>
      <c r="J51" s="22"/>
    </row>
    <row r="52" spans="1:10" ht="11.1" customHeight="1" thickBot="1" x14ac:dyDescent="0.3">
      <c r="A52" s="1"/>
      <c r="B52" s="7"/>
      <c r="C52" s="37"/>
      <c r="D52" s="38"/>
      <c r="E52" s="39"/>
      <c r="F52" s="38"/>
      <c r="G52" s="37"/>
      <c r="H52" s="38"/>
      <c r="I52" s="38"/>
      <c r="J52" s="21"/>
    </row>
    <row r="53" spans="1:10" ht="42.95" customHeight="1" thickBot="1" x14ac:dyDescent="0.3">
      <c r="A53" s="1"/>
      <c r="B53" s="7"/>
      <c r="C53" s="735" t="str">
        <f>IF(E17=S26,"",E17)</f>
        <v/>
      </c>
      <c r="D53" s="736"/>
      <c r="E53" s="736"/>
      <c r="F53" s="736"/>
      <c r="G53" s="737"/>
      <c r="H53" s="40"/>
      <c r="I53" s="180" t="str">
        <f>IF(C53="","",IF(C53='E4 - Dodatni efekti'!S24,'E4 - Dodatni efekti'!T24,'E4 - Dodatni efekti'!T25))</f>
        <v/>
      </c>
      <c r="J53" s="21"/>
    </row>
    <row r="54" spans="1:10" ht="11.1" customHeight="1" thickBot="1" x14ac:dyDescent="0.3">
      <c r="A54" s="1"/>
      <c r="B54" s="31"/>
      <c r="C54" s="41"/>
      <c r="D54" s="19"/>
      <c r="E54" s="42"/>
      <c r="F54" s="19"/>
      <c r="G54" s="19"/>
      <c r="H54" s="19"/>
      <c r="I54" s="19"/>
      <c r="J54" s="23"/>
    </row>
    <row r="55" spans="1:10" ht="16.5" thickBot="1" x14ac:dyDescent="0.3"/>
    <row r="56" spans="1:10" x14ac:dyDescent="0.25">
      <c r="B56" s="6"/>
      <c r="C56" s="10"/>
      <c r="D56" s="11"/>
      <c r="E56" s="12"/>
      <c r="F56" s="11"/>
      <c r="G56" s="10"/>
      <c r="H56" s="11"/>
      <c r="I56" s="11"/>
      <c r="J56" s="20"/>
    </row>
    <row r="57" spans="1:10" x14ac:dyDescent="0.25">
      <c r="B57" s="8"/>
      <c r="C57" s="34" t="s">
        <v>172</v>
      </c>
      <c r="D57" s="34"/>
      <c r="E57" s="35"/>
      <c r="F57" s="35"/>
      <c r="G57" s="35"/>
      <c r="H57" s="35"/>
      <c r="I57" s="36"/>
      <c r="J57" s="22"/>
    </row>
    <row r="58" spans="1:10" x14ac:dyDescent="0.25">
      <c r="B58" s="8"/>
      <c r="C58" s="34"/>
      <c r="D58" s="34"/>
      <c r="E58" s="35"/>
      <c r="F58" s="35"/>
      <c r="G58" s="35"/>
      <c r="H58" s="35"/>
      <c r="I58" s="36"/>
      <c r="J58" s="22"/>
    </row>
    <row r="59" spans="1:10" x14ac:dyDescent="0.25">
      <c r="B59" s="8"/>
      <c r="C59" s="34" t="s">
        <v>176</v>
      </c>
      <c r="D59" s="34"/>
      <c r="E59" s="35"/>
      <c r="F59" s="35"/>
      <c r="G59" s="35"/>
      <c r="H59" s="35"/>
      <c r="I59" s="36"/>
      <c r="J59" s="22"/>
    </row>
    <row r="60" spans="1:10" ht="8.1" customHeight="1" thickBot="1" x14ac:dyDescent="0.3">
      <c r="B60" s="7"/>
      <c r="C60" s="37"/>
      <c r="D60" s="38"/>
      <c r="E60" s="39"/>
      <c r="F60" s="38"/>
      <c r="G60" s="37"/>
      <c r="H60" s="38"/>
      <c r="I60" s="38"/>
      <c r="J60" s="21"/>
    </row>
    <row r="61" spans="1:10" ht="51.75" thickBot="1" x14ac:dyDescent="0.3">
      <c r="B61" s="7"/>
      <c r="C61" s="3" t="str">
        <f>C19</f>
        <v>Doprinos lokalnim/regionalnim projektima prijateljskog okruženja</v>
      </c>
      <c r="D61" s="39" t="s">
        <v>1</v>
      </c>
      <c r="E61" s="3" t="str">
        <f>'Unos podataka'!C11</f>
        <v>Ukupna investicija (mio. KM)</v>
      </c>
      <c r="F61" s="39" t="s">
        <v>3</v>
      </c>
      <c r="G61" s="3" t="s">
        <v>174</v>
      </c>
      <c r="H61" s="40"/>
      <c r="I61" s="738" t="str">
        <f>IF(G63="","",VLOOKUP(G63,'E4 - Dodatni efekti'!T30:U32,2))</f>
        <v/>
      </c>
      <c r="J61" s="21"/>
    </row>
    <row r="62" spans="1:10" ht="9.9499999999999993" customHeight="1" thickBot="1" x14ac:dyDescent="0.3">
      <c r="B62" s="7"/>
      <c r="C62" s="39"/>
      <c r="D62" s="40"/>
      <c r="E62" s="39"/>
      <c r="F62" s="40"/>
      <c r="G62" s="39"/>
      <c r="H62" s="40"/>
      <c r="I62" s="739"/>
      <c r="J62" s="21"/>
    </row>
    <row r="63" spans="1:10" ht="16.5" thickBot="1" x14ac:dyDescent="0.3">
      <c r="B63" s="7"/>
      <c r="C63" s="146" t="str">
        <f>IF(E19="","",E19)</f>
        <v/>
      </c>
      <c r="D63" s="39" t="s">
        <v>1</v>
      </c>
      <c r="E63" s="146" t="str">
        <f>IF('Unos podataka'!E11="","",'Unos podataka'!E11)</f>
        <v/>
      </c>
      <c r="F63" s="39" t="s">
        <v>3</v>
      </c>
      <c r="G63" s="179" t="str">
        <f>IF(OR(C63="",E63=""),"",C63/E63)</f>
        <v/>
      </c>
      <c r="H63" s="40"/>
      <c r="I63" s="740"/>
      <c r="J63" s="21"/>
    </row>
    <row r="64" spans="1:10" x14ac:dyDescent="0.25">
      <c r="B64" s="7"/>
      <c r="C64" s="37"/>
      <c r="D64" s="38"/>
      <c r="E64" s="39"/>
      <c r="F64" s="38"/>
      <c r="G64" s="37"/>
      <c r="H64" s="38"/>
      <c r="I64" s="38"/>
      <c r="J64" s="21"/>
    </row>
    <row r="65" spans="1:10" x14ac:dyDescent="0.25">
      <c r="B65" s="7"/>
      <c r="C65" s="34" t="s">
        <v>173</v>
      </c>
      <c r="D65" s="34"/>
      <c r="E65" s="35"/>
      <c r="F65" s="35"/>
      <c r="G65" s="35"/>
      <c r="H65" s="35"/>
      <c r="I65" s="36"/>
      <c r="J65" s="21"/>
    </row>
    <row r="66" spans="1:10" ht="16.5" thickBot="1" x14ac:dyDescent="0.3">
      <c r="B66" s="7"/>
      <c r="C66" s="37"/>
      <c r="D66" s="38"/>
      <c r="E66" s="39"/>
      <c r="F66" s="38"/>
      <c r="G66" s="37"/>
      <c r="H66" s="38"/>
      <c r="I66" s="38"/>
      <c r="J66" s="21"/>
    </row>
    <row r="67" spans="1:10" ht="42.95" customHeight="1" thickBot="1" x14ac:dyDescent="0.3">
      <c r="A67" s="1"/>
      <c r="B67" s="7"/>
      <c r="C67" s="741" t="str">
        <f>IF(E21="","",E21)</f>
        <v/>
      </c>
      <c r="D67" s="742"/>
      <c r="E67" s="742"/>
      <c r="F67" s="742"/>
      <c r="G67" s="743"/>
      <c r="H67" s="40"/>
      <c r="I67" s="180" t="str">
        <f>IF(C67="","",VLOOKUP(C67,'E4 - Dodatni efekti'!T37:U39,2))</f>
        <v/>
      </c>
      <c r="J67" s="21"/>
    </row>
    <row r="68" spans="1:10" ht="15.95" customHeight="1" thickBot="1" x14ac:dyDescent="0.3">
      <c r="B68" s="31"/>
      <c r="C68" s="41"/>
      <c r="D68" s="19"/>
      <c r="E68" s="42"/>
      <c r="F68" s="19"/>
      <c r="G68" s="19"/>
      <c r="H68" s="19"/>
      <c r="I68" s="19"/>
      <c r="J68" s="23"/>
    </row>
    <row r="69" spans="1:10" ht="17.100000000000001" customHeight="1" x14ac:dyDescent="0.25"/>
  </sheetData>
  <mergeCells count="8">
    <mergeCell ref="N14:N16"/>
    <mergeCell ref="C47:G47"/>
    <mergeCell ref="C53:G53"/>
    <mergeCell ref="I61:I63"/>
    <mergeCell ref="C67:G67"/>
    <mergeCell ref="I27:I29"/>
    <mergeCell ref="C35:G35"/>
    <mergeCell ref="C41:G41"/>
  </mergeCells>
  <dataValidations count="6">
    <dataValidation type="list" allowBlank="1" showInputMessage="1" showErrorMessage="1" error="Wrong input!" prompt="Izaberite nivo sinergije" sqref="E11">
      <formula1>$S$17:$S$20</formula1>
    </dataValidation>
    <dataValidation type="list" allowBlank="1" showInputMessage="1" showErrorMessage="1" error="Wrong input!" prompt="Izaberite da ili ne" sqref="E15">
      <formula1>$S$24:$S$26</formula1>
    </dataValidation>
    <dataValidation allowBlank="1" showInputMessage="1" showErrorMessage="1" prompt="Unesite iznos u mil. KM" sqref="E19"/>
    <dataValidation type="decimal" allowBlank="1" showInputMessage="1" showErrorMessage="1" error="Wrong input - only values between 0 and 100% allowed!" prompt="Unesite vrijednosti između  0 i 100%" sqref="E21">
      <formula1>0</formula1>
      <formula2>1</formula2>
    </dataValidation>
    <dataValidation allowBlank="1" showInputMessage="1" showErrorMessage="1" prompt="Unesite iznos MWh/g" sqref="E9"/>
    <dataValidation type="list" allowBlank="1" showInputMessage="1" showErrorMessage="1" error="Wrong input!" prompt="Izaberite da/ne" sqref="E13 E17">
      <formula1>$S$24:$S$26</formula1>
    </dataValidation>
  </dataValidation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8"/>
  <sheetViews>
    <sheetView showGridLines="0" zoomScaleNormal="100" workbookViewId="0">
      <selection activeCell="K16" sqref="K16"/>
    </sheetView>
  </sheetViews>
  <sheetFormatPr defaultColWidth="10.875" defaultRowHeight="15" x14ac:dyDescent="0.2"/>
  <cols>
    <col min="1" max="2" width="3.875" style="5" customWidth="1"/>
    <col min="3" max="3" width="27.375" style="5" customWidth="1"/>
    <col min="4" max="5" width="10.875" style="5"/>
    <col min="6" max="6" width="12.375" style="5" customWidth="1"/>
    <col min="7" max="7" width="3.875" style="5" customWidth="1"/>
    <col min="8" max="16384" width="10.875" style="5"/>
  </cols>
  <sheetData>
    <row r="1" spans="2:7" ht="15.75" thickBot="1" x14ac:dyDescent="0.25"/>
    <row r="2" spans="2:7" x14ac:dyDescent="0.2">
      <c r="B2" s="6"/>
      <c r="C2" s="10"/>
      <c r="D2" s="11"/>
      <c r="E2" s="12"/>
      <c r="F2" s="11"/>
      <c r="G2" s="20"/>
    </row>
    <row r="3" spans="2:7" ht="15.75" x14ac:dyDescent="0.2">
      <c r="B3" s="7"/>
      <c r="C3" s="33" t="s">
        <v>177</v>
      </c>
      <c r="D3" s="33"/>
      <c r="E3" s="33"/>
      <c r="F3" s="33"/>
      <c r="G3" s="30"/>
    </row>
    <row r="4" spans="2:7" ht="18.75" thickBot="1" x14ac:dyDescent="0.25">
      <c r="B4" s="31"/>
      <c r="C4" s="32"/>
      <c r="D4" s="32"/>
      <c r="E4" s="32"/>
      <c r="F4" s="32"/>
      <c r="G4" s="23"/>
    </row>
    <row r="5" spans="2:7" ht="15.75" thickBot="1" x14ac:dyDescent="0.25"/>
    <row r="6" spans="2:7" ht="15.75" thickBot="1" x14ac:dyDescent="0.25">
      <c r="B6" s="6"/>
      <c r="C6" s="11"/>
      <c r="D6" s="10"/>
      <c r="E6" s="10"/>
      <c r="F6" s="11"/>
      <c r="G6" s="20"/>
    </row>
    <row r="7" spans="2:7" ht="32.25" thickBot="1" x14ac:dyDescent="0.25">
      <c r="B7" s="7"/>
      <c r="C7" s="62" t="s">
        <v>115</v>
      </c>
      <c r="D7" s="63" t="s">
        <v>183</v>
      </c>
      <c r="E7" s="63" t="s">
        <v>184</v>
      </c>
      <c r="F7" s="63" t="s">
        <v>185</v>
      </c>
      <c r="G7" s="21"/>
    </row>
    <row r="8" spans="2:7" ht="17.100000000000001" customHeight="1" x14ac:dyDescent="0.2">
      <c r="B8" s="8"/>
      <c r="C8" s="77" t="s">
        <v>178</v>
      </c>
      <c r="D8" s="84" t="str">
        <f>'E1 - Specifična investicija'!I9</f>
        <v/>
      </c>
      <c r="E8" s="78">
        <v>0.3</v>
      </c>
      <c r="F8" s="79" t="str">
        <f>IF(D8="","",E8*D8)</f>
        <v/>
      </c>
      <c r="G8" s="676">
        <f>IF(F8="",0,1)</f>
        <v>0</v>
      </c>
    </row>
    <row r="9" spans="2:7" ht="17.100000000000001" customHeight="1" x14ac:dyDescent="0.2">
      <c r="B9" s="7"/>
      <c r="C9" s="77" t="s">
        <v>179</v>
      </c>
      <c r="D9" s="84" t="str">
        <f>'E2 - Doprinos zaštiti klime'!I9:I11</f>
        <v/>
      </c>
      <c r="E9" s="78">
        <v>0.3</v>
      </c>
      <c r="F9" s="79" t="str">
        <f>IF(D9="","",E9*D9)</f>
        <v/>
      </c>
      <c r="G9" s="676">
        <f t="shared" ref="G9:G11" si="0">IF(F9="",0,1)</f>
        <v>0</v>
      </c>
    </row>
    <row r="10" spans="2:7" ht="17.100000000000001" customHeight="1" x14ac:dyDescent="0.2">
      <c r="B10" s="7"/>
      <c r="C10" s="77" t="s">
        <v>180</v>
      </c>
      <c r="D10" s="84" t="str">
        <f>'E3 - Priključak na d. mrežu'!I9</f>
        <v/>
      </c>
      <c r="E10" s="78">
        <v>0.15</v>
      </c>
      <c r="F10" s="79" t="str">
        <f>IF(D10="","",E10*D10)</f>
        <v/>
      </c>
      <c r="G10" s="676">
        <f t="shared" si="0"/>
        <v>0</v>
      </c>
    </row>
    <row r="11" spans="2:7" ht="15.75" thickBot="1" x14ac:dyDescent="0.25">
      <c r="B11" s="7"/>
      <c r="C11" s="77" t="s">
        <v>181</v>
      </c>
      <c r="D11" s="84" t="str">
        <f>'E4 - Dodatni efekti'!N14</f>
        <v/>
      </c>
      <c r="E11" s="78">
        <v>0.25</v>
      </c>
      <c r="F11" s="79" t="str">
        <f>IF(D11="","",E11*D11)</f>
        <v/>
      </c>
      <c r="G11" s="676">
        <f t="shared" si="0"/>
        <v>0</v>
      </c>
    </row>
    <row r="12" spans="2:7" ht="16.5" thickBot="1" x14ac:dyDescent="0.25">
      <c r="B12" s="8"/>
      <c r="C12" s="81" t="s">
        <v>182</v>
      </c>
      <c r="D12" s="83"/>
      <c r="E12" s="82"/>
      <c r="F12" s="85" t="str">
        <f>IF(SUM(G8:G11)&lt;&gt;4,"",SUM(F8:F11))</f>
        <v/>
      </c>
      <c r="G12" s="22"/>
    </row>
    <row r="13" spans="2:7" ht="15.75" thickBot="1" x14ac:dyDescent="0.25">
      <c r="B13" s="31"/>
      <c r="C13" s="18"/>
      <c r="D13" s="18"/>
      <c r="E13" s="18"/>
      <c r="F13" s="18"/>
      <c r="G13" s="23"/>
    </row>
    <row r="15" spans="2:7" x14ac:dyDescent="0.2">
      <c r="D15" s="76" t="str">
        <f>IF(F12="","-",F12/5)</f>
        <v>-</v>
      </c>
      <c r="E15" s="5" t="s">
        <v>6</v>
      </c>
    </row>
    <row r="16" spans="2:7" x14ac:dyDescent="0.2">
      <c r="C16" s="80"/>
    </row>
    <row r="18" spans="2:2" ht="23.25" x14ac:dyDescent="0.35">
      <c r="B18" s="86"/>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Uvod</vt:lpstr>
      <vt:lpstr>Rezultati</vt:lpstr>
      <vt:lpstr>Unos podataka</vt:lpstr>
      <vt:lpstr>Eliminatorni kriteriji</vt:lpstr>
      <vt:lpstr>E1 - Specifična investicija</vt:lpstr>
      <vt:lpstr>E2 - Doprinos zaštiti klime</vt:lpstr>
      <vt:lpstr>E3 - Priključak na d. mrežu</vt:lpstr>
      <vt:lpstr>E4 - Dodatni efekti</vt:lpstr>
      <vt:lpstr>E - Ukupna ocjena</vt:lpstr>
      <vt:lpstr>UV1 -Iskorištenost hidroe. pot.</vt:lpstr>
      <vt:lpstr>UV2 -Karakteristike HE</vt:lpstr>
      <vt:lpstr>UV3 - Efikasnost iskoriš. vode</vt:lpstr>
      <vt:lpstr>UV4 - Promjena pot. rizika</vt:lpstr>
      <vt:lpstr>UV5 - Utjecaj na kv. vode</vt:lpstr>
      <vt:lpstr>UV6 - Utjecaj na podzemen vode</vt:lpstr>
      <vt:lpstr>UV - Ukupna ocjena</vt:lpstr>
      <vt:lpstr>PP1 - PP dokumentacija</vt:lpstr>
      <vt:lpstr>PP2 - Direktno korištenje t.v.</vt:lpstr>
      <vt:lpstr>PP3 - Infrastruktura</vt:lpstr>
      <vt:lpstr>PP4 - Poljoprivreda</vt:lpstr>
      <vt:lpstr>PP5 - Šumarstvo</vt:lpstr>
      <vt:lpstr>PP6 - Kulturna dobra</vt:lpstr>
      <vt:lpstr>PP7 - Turizam</vt:lpstr>
      <vt:lpstr>PP8 - Mineralni resursi</vt:lpstr>
      <vt:lpstr>PP9 - Lokalna privreda</vt:lpstr>
      <vt:lpstr>PP - Ukupna ocjena</vt:lpstr>
      <vt:lpstr>EV1 - Hidromorfologija</vt:lpstr>
      <vt:lpstr>EV2 - Ekološki status</vt:lpstr>
      <vt:lpstr>EV3 - Površina sliva</vt:lpstr>
      <vt:lpstr>EV4 - Posebni tipovi V.T.</vt:lpstr>
      <vt:lpstr>EV5 -Postojanje mrjestilišta</vt:lpstr>
      <vt:lpstr>EV6- Putevi slobodnog toka</vt:lpstr>
      <vt:lpstr>EV7 - Toplotno zagađenje</vt:lpstr>
      <vt:lpstr>EV8 - Akumulacija</vt:lpstr>
      <vt:lpstr>EV - Ukupna ocjena</vt:lpstr>
      <vt:lpstr>ZP1 - Zaštita vrsta</vt:lpstr>
      <vt:lpstr>ZP2 - Zaštita priridnog staništ</vt:lpstr>
      <vt:lpstr>ZP3 - Ekosistem</vt:lpstr>
      <vt:lpstr>ZP4 - Pejzaž i rekreacijska vr.</vt:lpstr>
      <vt:lpstr>Sheet1</vt:lpstr>
      <vt:lpstr>ZP5 - Prirodni značaj vodotoka</vt:lpstr>
      <vt:lpstr>ZP6 - Osjetljivi tipovi voda</vt:lpstr>
      <vt:lpstr>ZP7 - Osjetljiva i jed. V.T.</vt:lpstr>
      <vt:lpstr>ZP - Ukupna ocjena</vt:lpstr>
      <vt:lpstr>'UV2 -Karakteristike HE'!_Toc421964388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Suada</cp:lastModifiedBy>
  <dcterms:created xsi:type="dcterms:W3CDTF">2019-04-04T13:59:12Z</dcterms:created>
  <dcterms:modified xsi:type="dcterms:W3CDTF">2020-02-28T14:03:18Z</dcterms:modified>
</cp:coreProperties>
</file>